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atoumariadrame/Desktop/Enda 2021/FEVE IMPULSE 2021/F2I 2022/Final F2 2022-2023/"/>
    </mc:Choice>
  </mc:AlternateContent>
  <xr:revisionPtr revIDLastSave="0" documentId="8_{848149AF-677C-D245-9078-38886B21DB44}" xr6:coauthVersionLast="47" xr6:coauthVersionMax="47" xr10:uidLastSave="{00000000-0000-0000-0000-000000000000}"/>
  <bookViews>
    <workbookView xWindow="4000" yWindow="460" windowWidth="28800" windowHeight="16100" activeTab="2" xr2:uid="{00000000-000D-0000-FFFF-FFFF00000000}"/>
  </bookViews>
  <sheets>
    <sheet name="Tab1 Etat récap " sheetId="8" r:id="rId1"/>
    <sheet name="Tab 2 Personnel" sheetId="9" r:id="rId2"/>
    <sheet name="Tab 3 Activités" sheetId="2" r:id="rId3"/>
    <sheet name="BUDGET" sheetId="4" state="hidden" r:id="rId4"/>
    <sheet name="Détails prix unitaire" sheetId="11" r:id="rId5"/>
  </sheets>
  <definedNames>
    <definedName name="FXR_Reg">'Tab 2 Personnel'!#REF!</definedName>
    <definedName name="GR_CSWs">BUDGET!$C$93</definedName>
    <definedName name="Yr1FI">#REF!</definedName>
    <definedName name="Yr1LocSal">'Tab 2 Personnel'!$H$3</definedName>
    <definedName name="Yr2FI">#REF!</definedName>
    <definedName name="Yr2LocSal">'Tab 2 Personnel'!$I$3</definedName>
    <definedName name="Yr3FI">#REF!</definedName>
    <definedName name="Yr3LocSal">'Tab 2 Personnel'!$J$3</definedName>
    <definedName name="Yr4FI">#REF!</definedName>
    <definedName name="Yr4LocSal">'Tab 2 Personnel'!$K$3</definedName>
    <definedName name="Yr5FI">#REF!</definedName>
    <definedName name="Yr5LocSal">'Tab 2 Personnel'!$L$3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8" l="1"/>
  <c r="K7" i="11"/>
  <c r="C7" i="8"/>
  <c r="N9" i="9"/>
  <c r="L9" i="9"/>
  <c r="J9" i="9"/>
  <c r="H9" i="9"/>
  <c r="N39" i="2"/>
  <c r="K39" i="2"/>
  <c r="H39" i="2"/>
  <c r="E39" i="2"/>
  <c r="E29" i="2"/>
  <c r="H29" i="2"/>
  <c r="K29" i="2"/>
  <c r="N29" i="2"/>
  <c r="N19" i="2"/>
  <c r="K19" i="2"/>
  <c r="H19" i="2"/>
  <c r="E19" i="2"/>
  <c r="E42" i="2"/>
  <c r="D4" i="8"/>
  <c r="H42" i="2"/>
  <c r="E4" i="8"/>
  <c r="K42" i="2"/>
  <c r="F4" i="8"/>
  <c r="N42" i="2"/>
  <c r="G4" i="8"/>
  <c r="C4" i="8"/>
  <c r="D5" i="8"/>
  <c r="E5" i="8"/>
  <c r="F5" i="8"/>
  <c r="G5" i="8"/>
  <c r="C5" i="8"/>
  <c r="E32" i="2"/>
  <c r="E33" i="2"/>
  <c r="E34" i="2"/>
  <c r="E35" i="2"/>
  <c r="E36" i="2"/>
  <c r="E37" i="2"/>
  <c r="E38" i="2"/>
  <c r="E22" i="2"/>
  <c r="E23" i="2"/>
  <c r="E24" i="2"/>
  <c r="E25" i="2"/>
  <c r="E26" i="2"/>
  <c r="E27" i="2"/>
  <c r="E28" i="2"/>
  <c r="E12" i="2"/>
  <c r="E13" i="2"/>
  <c r="E14" i="2"/>
  <c r="E15" i="2"/>
  <c r="E16" i="2"/>
  <c r="E17" i="2"/>
  <c r="E18" i="2"/>
  <c r="H32" i="2"/>
  <c r="H33" i="2"/>
  <c r="H34" i="2"/>
  <c r="H35" i="2"/>
  <c r="H36" i="2"/>
  <c r="H37" i="2"/>
  <c r="H38" i="2"/>
  <c r="H22" i="2"/>
  <c r="H23" i="2"/>
  <c r="H24" i="2"/>
  <c r="H25" i="2"/>
  <c r="H26" i="2"/>
  <c r="H27" i="2"/>
  <c r="H28" i="2"/>
  <c r="H12" i="2"/>
  <c r="H13" i="2"/>
  <c r="H14" i="2"/>
  <c r="H15" i="2"/>
  <c r="H16" i="2"/>
  <c r="H17" i="2"/>
  <c r="H18" i="2"/>
  <c r="K32" i="2"/>
  <c r="K33" i="2"/>
  <c r="K34" i="2"/>
  <c r="K35" i="2"/>
  <c r="K36" i="2"/>
  <c r="K37" i="2"/>
  <c r="K38" i="2"/>
  <c r="K22" i="2"/>
  <c r="K23" i="2"/>
  <c r="K24" i="2"/>
  <c r="K25" i="2"/>
  <c r="K26" i="2"/>
  <c r="K27" i="2"/>
  <c r="K28" i="2"/>
  <c r="K12" i="2"/>
  <c r="K13" i="2"/>
  <c r="K14" i="2"/>
  <c r="K15" i="2"/>
  <c r="K16" i="2"/>
  <c r="K17" i="2"/>
  <c r="K18" i="2"/>
  <c r="N32" i="2"/>
  <c r="N33" i="2"/>
  <c r="N34" i="2"/>
  <c r="N35" i="2"/>
  <c r="N36" i="2"/>
  <c r="N37" i="2"/>
  <c r="N38" i="2"/>
  <c r="N22" i="2"/>
  <c r="N23" i="2"/>
  <c r="N24" i="2"/>
  <c r="N25" i="2"/>
  <c r="N26" i="2"/>
  <c r="N27" i="2"/>
  <c r="N28" i="2"/>
  <c r="N12" i="2"/>
  <c r="N13" i="2"/>
  <c r="N14" i="2"/>
  <c r="N15" i="2"/>
  <c r="N16" i="2"/>
  <c r="N17" i="2"/>
  <c r="N18" i="2"/>
  <c r="B4" i="8"/>
  <c r="H4" i="9"/>
  <c r="H5" i="9"/>
  <c r="H6" i="9"/>
  <c r="H7" i="9"/>
  <c r="J4" i="9"/>
  <c r="J5" i="9"/>
  <c r="J6" i="9"/>
  <c r="J7" i="9"/>
  <c r="L4" i="9"/>
  <c r="L5" i="9"/>
  <c r="L6" i="9"/>
  <c r="L7" i="9"/>
  <c r="N4" i="9"/>
  <c r="N5" i="9"/>
  <c r="N6" i="9"/>
  <c r="N7" i="9"/>
  <c r="B5" i="8"/>
  <c r="D7" i="8"/>
  <c r="E7" i="8"/>
  <c r="F7" i="8"/>
  <c r="G7" i="8"/>
  <c r="A5" i="9"/>
  <c r="A6" i="9"/>
  <c r="A7" i="9"/>
  <c r="B166" i="4"/>
  <c r="C185" i="4"/>
  <c r="B184" i="4"/>
  <c r="B185" i="4"/>
  <c r="B164" i="4"/>
  <c r="B167" i="4"/>
  <c r="B168" i="4"/>
  <c r="B169" i="4"/>
  <c r="C265" i="4"/>
  <c r="D265" i="4"/>
  <c r="B194" i="4"/>
  <c r="B195" i="4"/>
  <c r="B196" i="4"/>
  <c r="B197" i="4"/>
  <c r="H197" i="4"/>
  <c r="H194" i="4"/>
  <c r="H195" i="4"/>
  <c r="H196" i="4"/>
  <c r="H193" i="4"/>
  <c r="F195" i="4"/>
  <c r="C187" i="4"/>
  <c r="C205" i="4"/>
  <c r="C206" i="4"/>
  <c r="C207" i="4"/>
  <c r="C208" i="4"/>
  <c r="F183" i="4"/>
  <c r="F185" i="4"/>
  <c r="F184" i="4"/>
  <c r="B186" i="4"/>
  <c r="B187" i="4"/>
  <c r="F187" i="4"/>
  <c r="B188" i="4"/>
  <c r="F186" i="4"/>
  <c r="B319" i="4"/>
  <c r="C319" i="4"/>
  <c r="B315" i="4"/>
  <c r="C315" i="4"/>
  <c r="D315" i="4"/>
  <c r="C320" i="4"/>
  <c r="A300" i="4"/>
  <c r="A297" i="4"/>
  <c r="A298" i="4"/>
  <c r="B278" i="4"/>
  <c r="C278" i="4"/>
  <c r="C277" i="4"/>
  <c r="B279" i="4"/>
  <c r="C258" i="4"/>
  <c r="D258" i="4"/>
  <c r="C263" i="4"/>
  <c r="D263" i="4"/>
  <c r="C264" i="4"/>
  <c r="D264" i="4"/>
  <c r="B266" i="4"/>
  <c r="B267" i="4"/>
  <c r="B259" i="4"/>
  <c r="B260" i="4"/>
  <c r="B261" i="4"/>
  <c r="C261" i="4"/>
  <c r="D261" i="4"/>
  <c r="B257" i="4"/>
  <c r="B262" i="4"/>
  <c r="C262" i="4"/>
  <c r="D262" i="4"/>
  <c r="B66" i="4"/>
  <c r="B67" i="4"/>
  <c r="B68" i="4"/>
  <c r="C68" i="4"/>
  <c r="B69" i="4"/>
  <c r="C69" i="4"/>
  <c r="C65" i="4"/>
  <c r="C57" i="4"/>
  <c r="B58" i="4"/>
  <c r="B59" i="4"/>
  <c r="B60" i="4"/>
  <c r="C60" i="4"/>
  <c r="B56" i="4"/>
  <c r="B61" i="4"/>
  <c r="B242" i="4"/>
  <c r="B243" i="4"/>
  <c r="D241" i="4"/>
  <c r="E241" i="4"/>
  <c r="E240" i="4"/>
  <c r="E239" i="4"/>
  <c r="E238" i="4"/>
  <c r="B235" i="4"/>
  <c r="D235" i="4"/>
  <c r="D234" i="4"/>
  <c r="B233" i="4"/>
  <c r="D233" i="4"/>
  <c r="B217" i="4"/>
  <c r="B218" i="4"/>
  <c r="B219" i="4"/>
  <c r="B215" i="4"/>
  <c r="B205" i="4"/>
  <c r="N198" i="4"/>
  <c r="N197" i="4"/>
  <c r="N196" i="4"/>
  <c r="N195" i="4"/>
  <c r="N194" i="4"/>
  <c r="F194" i="4"/>
  <c r="J194" i="4"/>
  <c r="K194" i="4"/>
  <c r="M194" i="4"/>
  <c r="N193" i="4"/>
  <c r="F193" i="4"/>
  <c r="J193" i="4"/>
  <c r="K193" i="4"/>
  <c r="M193" i="4"/>
  <c r="D193" i="4"/>
  <c r="E193" i="4"/>
  <c r="F192" i="4"/>
  <c r="J192" i="4"/>
  <c r="K192" i="4"/>
  <c r="M192" i="4"/>
  <c r="F191" i="4"/>
  <c r="J191" i="4"/>
  <c r="K191" i="4"/>
  <c r="M191" i="4"/>
  <c r="H169" i="4"/>
  <c r="L169" i="4"/>
  <c r="M169" i="4"/>
  <c r="O169" i="4"/>
  <c r="Q169" i="4"/>
  <c r="S168" i="4"/>
  <c r="H166" i="4"/>
  <c r="L166" i="4"/>
  <c r="M166" i="4"/>
  <c r="O166" i="4"/>
  <c r="Q166" i="4"/>
  <c r="H165" i="4"/>
  <c r="L165" i="4"/>
  <c r="M165" i="4"/>
  <c r="O165" i="4"/>
  <c r="Q165" i="4"/>
  <c r="F165" i="4"/>
  <c r="G165" i="4"/>
  <c r="I165" i="4"/>
  <c r="B159" i="4"/>
  <c r="B149" i="4"/>
  <c r="C149" i="4"/>
  <c r="C148" i="4"/>
  <c r="G148" i="4"/>
  <c r="C147" i="4"/>
  <c r="G147" i="4"/>
  <c r="C146" i="4"/>
  <c r="G146" i="4"/>
  <c r="C145" i="4"/>
  <c r="G145" i="4"/>
  <c r="C143" i="4"/>
  <c r="C142" i="4"/>
  <c r="C141" i="4"/>
  <c r="C140" i="4"/>
  <c r="C139" i="4"/>
  <c r="C138" i="4"/>
  <c r="G138" i="4"/>
  <c r="C137" i="4"/>
  <c r="G137" i="4"/>
  <c r="C136" i="4"/>
  <c r="G136" i="4"/>
  <c r="C135" i="4"/>
  <c r="G135" i="4"/>
  <c r="C134" i="4"/>
  <c r="G134" i="4"/>
  <c r="P127" i="4"/>
  <c r="P126" i="4"/>
  <c r="B126" i="4"/>
  <c r="C126" i="4"/>
  <c r="P125" i="4"/>
  <c r="C125" i="4"/>
  <c r="G125" i="4"/>
  <c r="P124" i="4"/>
  <c r="C124" i="4"/>
  <c r="G124" i="4"/>
  <c r="P123" i="4"/>
  <c r="C123" i="4"/>
  <c r="G123" i="4"/>
  <c r="P122" i="4"/>
  <c r="C122" i="4"/>
  <c r="G122" i="4"/>
  <c r="P121" i="4"/>
  <c r="C121" i="4"/>
  <c r="G121" i="4"/>
  <c r="P120" i="4"/>
  <c r="C120" i="4"/>
  <c r="C118" i="4"/>
  <c r="C117" i="4"/>
  <c r="C116" i="4"/>
  <c r="C115" i="4"/>
  <c r="G115" i="4"/>
  <c r="C114" i="4"/>
  <c r="G114" i="4"/>
  <c r="C113" i="4"/>
  <c r="G113" i="4"/>
  <c r="C112" i="4"/>
  <c r="G112" i="4"/>
  <c r="C111" i="4"/>
  <c r="G111" i="4"/>
  <c r="B103" i="4"/>
  <c r="C103" i="4"/>
  <c r="C102" i="4"/>
  <c r="G102" i="4"/>
  <c r="C101" i="4"/>
  <c r="G101" i="4"/>
  <c r="C100" i="4"/>
  <c r="G100" i="4"/>
  <c r="C99" i="4"/>
  <c r="G99" i="4"/>
  <c r="G98" i="4"/>
  <c r="C97" i="4"/>
  <c r="G97" i="4"/>
  <c r="C96" i="4"/>
  <c r="G96" i="4"/>
  <c r="C95" i="4"/>
  <c r="G95" i="4"/>
  <c r="C94" i="4"/>
  <c r="G94" i="4"/>
  <c r="C93" i="4"/>
  <c r="G93" i="4"/>
  <c r="F76" i="4"/>
  <c r="G75" i="4"/>
  <c r="G73" i="4"/>
  <c r="G68" i="4"/>
  <c r="G60" i="4"/>
  <c r="J60" i="4"/>
  <c r="J59" i="4"/>
  <c r="H59" i="4"/>
  <c r="L59" i="4"/>
  <c r="G58" i="4"/>
  <c r="J58" i="4"/>
  <c r="H58" i="4"/>
  <c r="N57" i="4"/>
  <c r="F53" i="4"/>
  <c r="M44" i="4"/>
  <c r="L44" i="4"/>
  <c r="H41" i="4"/>
  <c r="I41" i="4"/>
  <c r="J41" i="4"/>
  <c r="J43" i="4"/>
  <c r="G34" i="4"/>
  <c r="G35" i="4"/>
  <c r="G36" i="4"/>
  <c r="I33" i="4"/>
  <c r="J33" i="4"/>
  <c r="G32" i="4"/>
  <c r="M26" i="4"/>
  <c r="M23" i="4"/>
  <c r="M19" i="4"/>
  <c r="H19" i="4"/>
  <c r="M15" i="4"/>
  <c r="M13" i="4"/>
  <c r="H11" i="4"/>
  <c r="L10" i="4"/>
  <c r="L9" i="4"/>
  <c r="L8" i="4"/>
  <c r="L7" i="4"/>
  <c r="L6" i="4"/>
  <c r="L5" i="4"/>
  <c r="L4" i="4"/>
  <c r="L3" i="4"/>
  <c r="C56" i="4"/>
  <c r="C66" i="4"/>
  <c r="G37" i="4"/>
  <c r="B70" i="4"/>
  <c r="C260" i="4"/>
  <c r="D260" i="4"/>
  <c r="R165" i="4"/>
  <c r="B280" i="4"/>
  <c r="C279" i="4"/>
  <c r="B268" i="4"/>
  <c r="C267" i="4"/>
  <c r="D267" i="4"/>
  <c r="M27" i="4"/>
  <c r="C257" i="4"/>
  <c r="D257" i="4"/>
  <c r="C58" i="4"/>
  <c r="C266" i="4"/>
  <c r="D266" i="4"/>
  <c r="H32" i="4"/>
  <c r="I32" i="4"/>
  <c r="F164" i="4"/>
  <c r="G164" i="4"/>
  <c r="I164" i="4"/>
  <c r="H164" i="4"/>
  <c r="L164" i="4"/>
  <c r="M164" i="4"/>
  <c r="O164" i="4"/>
  <c r="Q164" i="4"/>
  <c r="R164" i="4"/>
  <c r="F166" i="4"/>
  <c r="G166" i="4"/>
  <c r="I166" i="4"/>
  <c r="D242" i="4"/>
  <c r="E242" i="4"/>
  <c r="F167" i="4"/>
  <c r="G167" i="4"/>
  <c r="I167" i="4"/>
  <c r="B220" i="4"/>
  <c r="C59" i="4"/>
  <c r="C67" i="4"/>
  <c r="C70" i="4"/>
  <c r="C259" i="4"/>
  <c r="D259" i="4"/>
  <c r="L11" i="4"/>
  <c r="C144" i="4"/>
  <c r="G144" i="4"/>
  <c r="G149" i="4"/>
  <c r="N199" i="4"/>
  <c r="B206" i="4"/>
  <c r="G103" i="4"/>
  <c r="B303" i="4"/>
  <c r="L58" i="4"/>
  <c r="G126" i="4"/>
  <c r="N44" i="4"/>
  <c r="O44" i="4"/>
  <c r="G76" i="4"/>
  <c r="F77" i="4"/>
  <c r="H167" i="4"/>
  <c r="L167" i="4"/>
  <c r="M167" i="4"/>
  <c r="O167" i="4"/>
  <c r="Q167" i="4"/>
  <c r="D243" i="4"/>
  <c r="E243" i="4"/>
  <c r="B244" i="4"/>
  <c r="G61" i="4"/>
  <c r="H60" i="4"/>
  <c r="L60" i="4"/>
  <c r="D194" i="4"/>
  <c r="E194" i="4"/>
  <c r="B236" i="4"/>
  <c r="F168" i="4"/>
  <c r="G168" i="4"/>
  <c r="I168" i="4"/>
  <c r="J164" i="4"/>
  <c r="R166" i="4"/>
  <c r="B269" i="4"/>
  <c r="C268" i="4"/>
  <c r="D268" i="4"/>
  <c r="B304" i="4"/>
  <c r="C303" i="4"/>
  <c r="D303" i="4"/>
  <c r="C61" i="4"/>
  <c r="D61" i="4"/>
  <c r="B281" i="4"/>
  <c r="C280" i="4"/>
  <c r="B207" i="4"/>
  <c r="D195" i="4"/>
  <c r="E195" i="4"/>
  <c r="J195" i="4"/>
  <c r="K195" i="4"/>
  <c r="M195" i="4"/>
  <c r="P198" i="4"/>
  <c r="R167" i="4"/>
  <c r="J61" i="4"/>
  <c r="G62" i="4"/>
  <c r="H61" i="4"/>
  <c r="G77" i="4"/>
  <c r="F78" i="4"/>
  <c r="D236" i="4"/>
  <c r="B237" i="4"/>
  <c r="D237" i="4"/>
  <c r="D244" i="4"/>
  <c r="E244" i="4"/>
  <c r="B245" i="4"/>
  <c r="H168" i="4"/>
  <c r="L168" i="4"/>
  <c r="M168" i="4"/>
  <c r="O168" i="4"/>
  <c r="Q168" i="4"/>
  <c r="B270" i="4"/>
  <c r="C270" i="4"/>
  <c r="D270" i="4"/>
  <c r="C269" i="4"/>
  <c r="D269" i="4"/>
  <c r="C304" i="4"/>
  <c r="D304" i="4"/>
  <c r="B305" i="4"/>
  <c r="C281" i="4"/>
  <c r="B282" i="4"/>
  <c r="B208" i="4"/>
  <c r="R168" i="4"/>
  <c r="L61" i="4"/>
  <c r="J62" i="4"/>
  <c r="J63" i="4"/>
  <c r="H62" i="4"/>
  <c r="L62" i="4"/>
  <c r="G63" i="4"/>
  <c r="B246" i="4"/>
  <c r="D246" i="4"/>
  <c r="E246" i="4"/>
  <c r="D245" i="4"/>
  <c r="E245" i="4"/>
  <c r="G78" i="4"/>
  <c r="F79" i="4"/>
  <c r="D196" i="4"/>
  <c r="E196" i="4"/>
  <c r="F196" i="4"/>
  <c r="J196" i="4"/>
  <c r="K196" i="4"/>
  <c r="M196" i="4"/>
  <c r="B306" i="4"/>
  <c r="C305" i="4"/>
  <c r="D305" i="4"/>
  <c r="G79" i="4"/>
  <c r="F80" i="4"/>
  <c r="G80" i="4"/>
  <c r="H63" i="4"/>
  <c r="L63" i="4"/>
  <c r="B198" i="4"/>
  <c r="B199" i="4"/>
  <c r="F199" i="4"/>
  <c r="J199" i="4"/>
  <c r="K199" i="4"/>
  <c r="D197" i="4"/>
  <c r="E197" i="4"/>
  <c r="F197" i="4"/>
  <c r="J197" i="4"/>
  <c r="K197" i="4"/>
  <c r="M197" i="4"/>
  <c r="B307" i="4"/>
  <c r="C307" i="4"/>
  <c r="D307" i="4"/>
  <c r="C306" i="4"/>
  <c r="D306" i="4"/>
  <c r="D198" i="4"/>
  <c r="E198" i="4"/>
  <c r="F198" i="4"/>
  <c r="J198" i="4"/>
  <c r="K198" i="4"/>
  <c r="M198" i="4"/>
  <c r="M19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Administrateur</author>
  </authors>
  <commentList>
    <comment ref="H5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2 rapports/j/29j/mois pour une annéee: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<sst xmlns="http://schemas.openxmlformats.org/spreadsheetml/2006/main" count="322" uniqueCount="134">
  <si>
    <t>Détail rubrique B</t>
  </si>
  <si>
    <t>Budget total</t>
  </si>
  <si>
    <t>BUDGET GLOBAL</t>
  </si>
  <si>
    <t>RUBRIQUES</t>
  </si>
  <si>
    <t>QUANTITE</t>
  </si>
  <si>
    <t>FREQUENCE</t>
  </si>
  <si>
    <t>MONTANT                     (en Fcfa)</t>
  </si>
  <si>
    <t>TS</t>
  </si>
  <si>
    <t>HSH</t>
  </si>
  <si>
    <t>DAKOLA</t>
  </si>
  <si>
    <r>
      <t>1.1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former xx prestataires pour la PEC des populations clés</t>
    </r>
  </si>
  <si>
    <t>Nombre de site</t>
  </si>
  <si>
    <t>NOMBRE DE TS</t>
  </si>
  <si>
    <t>Bar maquis</t>
  </si>
  <si>
    <t>nombre de pairs</t>
  </si>
  <si>
    <t>Item</t>
  </si>
  <si>
    <t>BENDGO</t>
  </si>
  <si>
    <t>THEATRE POPULAIRE</t>
  </si>
  <si>
    <t>TAMPOUY</t>
  </si>
  <si>
    <t>DAPOYA</t>
  </si>
  <si>
    <t>TOUDWEOGO</t>
  </si>
  <si>
    <t>OUAGA INTER</t>
  </si>
  <si>
    <t>Cinkansé</t>
  </si>
  <si>
    <t>bar</t>
  </si>
  <si>
    <t>Dakola</t>
  </si>
  <si>
    <t>Cinkanse</t>
  </si>
  <si>
    <t>gare</t>
  </si>
  <si>
    <t>TS /SITE</t>
  </si>
  <si>
    <t>Plaidoyer auprès des propriétaires de bar pour insertion des messages sur les T shirts</t>
  </si>
  <si>
    <t>Ouaga</t>
  </si>
  <si>
    <t>Nombre TS</t>
  </si>
  <si>
    <t>ANCIEN</t>
  </si>
  <si>
    <t>AN1</t>
  </si>
  <si>
    <t>A2</t>
  </si>
  <si>
    <t>AN3</t>
  </si>
  <si>
    <t>AN4</t>
  </si>
  <si>
    <t>AN5</t>
  </si>
  <si>
    <t>Nombre de clients de TS</t>
  </si>
  <si>
    <t>Nombre de clients des TS/NUIT</t>
  </si>
  <si>
    <t xml:space="preserve">, 1467 </t>
  </si>
  <si>
    <t>NOMBRE DE CLIENTS (3/nuit)</t>
  </si>
  <si>
    <t>Nombre de prisonniers</t>
  </si>
  <si>
    <t>NOMBRE EN 2010</t>
  </si>
  <si>
    <t>PRESERVATIFS DISTRIBUES</t>
  </si>
  <si>
    <t>NOMBRE</t>
  </si>
  <si>
    <t>AN2</t>
  </si>
  <si>
    <t>AN6</t>
  </si>
  <si>
    <t>CAUSERIE EDUCTIVE PAR LES PAIRS</t>
  </si>
  <si>
    <t>NOMBRE DE PAIRS</t>
  </si>
  <si>
    <t>Causeries éducatives</t>
  </si>
  <si>
    <t>site an1</t>
  </si>
  <si>
    <t>NOMBRE DE PAIR</t>
  </si>
  <si>
    <t>nombre de causeries par an</t>
  </si>
  <si>
    <t>total an</t>
  </si>
  <si>
    <t>total</t>
  </si>
  <si>
    <t>Tampouy</t>
  </si>
  <si>
    <t>GARE OUAGA INTER GARE</t>
  </si>
  <si>
    <t>CINKANSE</t>
  </si>
  <si>
    <t>GARE DAKOLA</t>
  </si>
  <si>
    <t>GARE CINKANSE</t>
  </si>
  <si>
    <t>AN 2</t>
  </si>
  <si>
    <t>AN 3</t>
  </si>
  <si>
    <t>4 autres site</t>
  </si>
  <si>
    <t>projections de film</t>
  </si>
  <si>
    <t>location</t>
  </si>
  <si>
    <t>transport</t>
  </si>
  <si>
    <t>personnel de santé</t>
  </si>
  <si>
    <t>techincien</t>
  </si>
  <si>
    <t>animateur association</t>
  </si>
  <si>
    <t>test ded épistage</t>
  </si>
  <si>
    <t>TS à depister</t>
  </si>
  <si>
    <t>NOMBRE DE JOURS</t>
  </si>
  <si>
    <t>TOTAL DANS AN</t>
  </si>
  <si>
    <t>PRISE EN CHARGE</t>
  </si>
  <si>
    <t>15/j</t>
  </si>
  <si>
    <t>DETENUS</t>
  </si>
  <si>
    <t>NOMBRE DE TS OUAGA</t>
  </si>
  <si>
    <t>Intervetions: sensibilisation</t>
  </si>
  <si>
    <t>Nombre de prisoniers</t>
  </si>
  <si>
    <t>Routire</t>
  </si>
  <si>
    <t>5000 à 7000</t>
  </si>
  <si>
    <t>Monande</t>
  </si>
  <si>
    <t>PAR KOLOKO</t>
  </si>
  <si>
    <t>touchés</t>
  </si>
  <si>
    <t>test : 70%</t>
  </si>
  <si>
    <t>craburant</t>
  </si>
  <si>
    <t>ouaga po</t>
  </si>
  <si>
    <t>po dakola</t>
  </si>
  <si>
    <t>Ouaga tenkodogo</t>
  </si>
  <si>
    <t>tenko bitto</t>
  </si>
  <si>
    <t>bittou sakance</t>
  </si>
  <si>
    <t>Sakansé</t>
  </si>
  <si>
    <t>ACQUISTION DE CONDOM</t>
  </si>
  <si>
    <t>TS à depitées révues</t>
  </si>
  <si>
    <t>Acquisition condom</t>
  </si>
  <si>
    <t>an2 corrigé</t>
  </si>
  <si>
    <t>ACTIVITES</t>
  </si>
  <si>
    <t>Titre de l'activté</t>
  </si>
  <si>
    <t>/day</t>
  </si>
  <si>
    <t>Titre</t>
  </si>
  <si>
    <t>Cout unitaire</t>
  </si>
  <si>
    <t>Descritption du poste</t>
  </si>
  <si>
    <t>Périodicité</t>
  </si>
  <si>
    <t>Prénom et Nom</t>
  </si>
  <si>
    <t>Nbre xxx de travail</t>
  </si>
  <si>
    <t>TOTAL PERSONNEL/CONSULTANT</t>
  </si>
  <si>
    <t>1 - ACTIVITES</t>
  </si>
  <si>
    <t>2. FRAIS CONSULTANTS/PERSONNEL</t>
  </si>
  <si>
    <t>%</t>
  </si>
  <si>
    <t>I - ACTIVITES</t>
  </si>
  <si>
    <t>II - PERSONNEL/CONSULTANT</t>
  </si>
  <si>
    <t>Sous total Activité1</t>
  </si>
  <si>
    <t>Sous total Activité2</t>
  </si>
  <si>
    <t>Sous total Activité3</t>
  </si>
  <si>
    <t>TRIM 1</t>
  </si>
  <si>
    <t>TRIM 2</t>
  </si>
  <si>
    <t>TRIM 3</t>
  </si>
  <si>
    <t>TRIM 4</t>
  </si>
  <si>
    <t>Montant trim 1</t>
  </si>
  <si>
    <t>Montant trim 2</t>
  </si>
  <si>
    <t>Montant trim 3</t>
  </si>
  <si>
    <t>Montant trim 4</t>
  </si>
  <si>
    <t xml:space="preserve">Elements </t>
  </si>
  <si>
    <t>Prix</t>
  </si>
  <si>
    <t>collation</t>
  </si>
  <si>
    <t>Détail</t>
  </si>
  <si>
    <t>Participation réunion</t>
  </si>
  <si>
    <t>exemple: éléments "Participation réunion dont le cout unitaire Total est de 8.000" et "communication de 5.000"</t>
  </si>
  <si>
    <t>Communcation</t>
  </si>
  <si>
    <t>Carte crédit/forfait internet</t>
  </si>
  <si>
    <t>PRIX UNITAIRE*</t>
  </si>
  <si>
    <t>* à détailler dans la feuille "Détails prix unitaire"</t>
  </si>
  <si>
    <r>
      <t xml:space="preserve">Tableau 1 : Etat récapitulatif </t>
    </r>
    <r>
      <rPr>
        <b/>
        <i/>
        <sz val="11"/>
        <color theme="1"/>
        <rFont val="Times New Roman"/>
        <family val="1"/>
      </rPr>
      <t>(ce tableau est rempli automatiquement après les tableaux 2 et 3)</t>
    </r>
  </si>
  <si>
    <t>Brève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</si>
</sst>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_);_(* \(#,##0\);_(* &quot;-&quot;??_);_(@_)"/>
    <numFmt numFmtId="167" formatCode="_-* #,##0.0\ _€_-;\-* #,##0.0\ _€_-;_-* &quot;-&quot;??\ _€_-;_-@_-"/>
    <numFmt numFmtId="168" formatCode="_(&quot;$&quot;#,##0_);_(&quot;$&quot;\(#,##0\);_(&quot;-&quot;_);_(@_)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&quot;#,##0.00_);_(&quot;$&quot;\(#,##0.00\);_(&quot;-&quot;??_);_(@_)"/>
    <numFmt numFmtId="173" formatCode="_ * #,##0_)\ _F_ _C_F_A_ ;_ * \(#,##0\)\ _F_ _C_F_A_ ;_ * &quot;-&quot;_)\ _F_ _C_F_A_ ;_ @_ "/>
  </numFmts>
  <fonts count="2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7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u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FF"/>
      <name val="Times New Roman"/>
      <family val="1"/>
    </font>
    <font>
      <b/>
      <sz val="12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</cellStyleXfs>
  <cellXfs count="111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0" borderId="0" xfId="0" applyFont="1"/>
    <xf numFmtId="0" fontId="0" fillId="5" borderId="0" xfId="0" applyFill="1"/>
    <xf numFmtId="0" fontId="13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9" fillId="4" borderId="5" xfId="0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14" fillId="0" borderId="0" xfId="0" applyFont="1" applyAlignment="1">
      <alignment horizontal="left" vertical="center" indent="2"/>
    </xf>
    <xf numFmtId="0" fontId="18" fillId="0" borderId="0" xfId="0" applyFont="1"/>
    <xf numFmtId="0" fontId="13" fillId="6" borderId="0" xfId="0" applyFont="1" applyFill="1"/>
    <xf numFmtId="165" fontId="13" fillId="0" borderId="0" xfId="1" applyNumberFormat="1" applyFont="1"/>
    <xf numFmtId="165" fontId="0" fillId="0" borderId="0" xfId="1" applyNumberFormat="1" applyFont="1"/>
    <xf numFmtId="1" fontId="0" fillId="0" borderId="0" xfId="0" applyNumberFormat="1"/>
    <xf numFmtId="166" fontId="19" fillId="7" borderId="0" xfId="1" applyNumberFormat="1" applyFont="1" applyFill="1" applyBorder="1" applyProtection="1"/>
    <xf numFmtId="166" fontId="0" fillId="0" borderId="0" xfId="0" applyNumberFormat="1"/>
    <xf numFmtId="3" fontId="17" fillId="0" borderId="0" xfId="0" applyNumberFormat="1" applyFont="1"/>
    <xf numFmtId="0" fontId="20" fillId="0" borderId="0" xfId="0" applyFont="1"/>
    <xf numFmtId="0" fontId="0" fillId="6" borderId="0" xfId="0" applyFill="1"/>
    <xf numFmtId="167" fontId="0" fillId="0" borderId="0" xfId="1" applyNumberFormat="1" applyFont="1"/>
    <xf numFmtId="2" fontId="0" fillId="0" borderId="0" xfId="0" applyNumberFormat="1"/>
    <xf numFmtId="165" fontId="0" fillId="0" borderId="0" xfId="0" applyNumberFormat="1"/>
    <xf numFmtId="9" fontId="0" fillId="0" borderId="0" xfId="0" applyNumberFormat="1"/>
    <xf numFmtId="0" fontId="21" fillId="0" borderId="0" xfId="0" applyFont="1"/>
    <xf numFmtId="0" fontId="0" fillId="0" borderId="0" xfId="0" applyAlignment="1">
      <alignment wrapText="1"/>
    </xf>
    <xf numFmtId="3" fontId="9" fillId="4" borderId="5" xfId="0" applyNumberFormat="1" applyFont="1" applyFill="1" applyBorder="1" applyAlignment="1">
      <alignment horizontal="right" vertical="center"/>
    </xf>
    <xf numFmtId="3" fontId="9" fillId="4" borderId="5" xfId="1" applyNumberFormat="1" applyFont="1" applyFill="1" applyBorder="1" applyAlignment="1">
      <alignment horizontal="right" vertical="center"/>
    </xf>
    <xf numFmtId="0" fontId="9" fillId="6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horizontal="right" vertical="center"/>
    </xf>
    <xf numFmtId="3" fontId="9" fillId="6" borderId="5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8" fillId="4" borderId="5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3" fontId="9" fillId="0" borderId="5" xfId="1" applyNumberFormat="1" applyFont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 wrapText="1"/>
    </xf>
    <xf numFmtId="0" fontId="9" fillId="8" borderId="5" xfId="0" applyFont="1" applyFill="1" applyBorder="1" applyAlignment="1">
      <alignment horizontal="left" vertical="center" indent="2"/>
    </xf>
    <xf numFmtId="3" fontId="9" fillId="8" borderId="5" xfId="0" applyNumberFormat="1" applyFont="1" applyFill="1" applyBorder="1" applyAlignment="1">
      <alignment horizontal="right" vertical="center"/>
    </xf>
    <xf numFmtId="0" fontId="9" fillId="8" borderId="5" xfId="0" applyFont="1" applyFill="1" applyBorder="1" applyAlignment="1">
      <alignment horizontal="right" vertical="center"/>
    </xf>
    <xf numFmtId="0" fontId="0" fillId="8" borderId="5" xfId="0" applyFill="1" applyBorder="1"/>
    <xf numFmtId="0" fontId="0" fillId="9" borderId="0" xfId="0" applyFill="1"/>
    <xf numFmtId="1" fontId="0" fillId="9" borderId="0" xfId="0" applyNumberFormat="1" applyFill="1"/>
    <xf numFmtId="0" fontId="5" fillId="2" borderId="8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/>
    </xf>
    <xf numFmtId="3" fontId="0" fillId="3" borderId="12" xfId="0" applyNumberFormat="1" applyFill="1" applyBorder="1"/>
    <xf numFmtId="0" fontId="0" fillId="10" borderId="5" xfId="0" applyFill="1" applyBorder="1"/>
    <xf numFmtId="0" fontId="9" fillId="11" borderId="5" xfId="0" applyFont="1" applyFill="1" applyBorder="1" applyAlignment="1">
      <alignment vertical="center" wrapText="1"/>
    </xf>
    <xf numFmtId="3" fontId="9" fillId="11" borderId="5" xfId="0" applyNumberFormat="1" applyFont="1" applyFill="1" applyBorder="1" applyAlignment="1">
      <alignment vertical="center"/>
    </xf>
    <xf numFmtId="0" fontId="9" fillId="12" borderId="5" xfId="0" applyFont="1" applyFill="1" applyBorder="1" applyAlignment="1">
      <alignment vertical="center" wrapText="1"/>
    </xf>
    <xf numFmtId="3" fontId="9" fillId="12" borderId="5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23" fillId="0" borderId="17" xfId="3" applyFont="1" applyBorder="1" applyAlignment="1">
      <alignment horizontal="left"/>
    </xf>
    <xf numFmtId="0" fontId="23" fillId="0" borderId="0" xfId="3" applyFont="1" applyAlignment="1">
      <alignment horizontal="left"/>
    </xf>
    <xf numFmtId="0" fontId="24" fillId="0" borderId="0" xfId="3" applyFont="1"/>
    <xf numFmtId="0" fontId="24" fillId="0" borderId="19" xfId="3" applyFont="1" applyBorder="1"/>
    <xf numFmtId="0" fontId="25" fillId="0" borderId="17" xfId="3" applyFont="1" applyBorder="1"/>
    <xf numFmtId="169" fontId="25" fillId="13" borderId="20" xfId="5" applyFont="1" applyFill="1" applyBorder="1"/>
    <xf numFmtId="170" fontId="25" fillId="13" borderId="19" xfId="5" applyNumberFormat="1" applyFont="1" applyFill="1" applyBorder="1"/>
    <xf numFmtId="0" fontId="25" fillId="0" borderId="0" xfId="3" applyFont="1"/>
    <xf numFmtId="10" fontId="25" fillId="0" borderId="18" xfId="4" applyNumberFormat="1" applyFont="1" applyFill="1" applyBorder="1"/>
    <xf numFmtId="169" fontId="24" fillId="0" borderId="20" xfId="5" applyFont="1" applyBorder="1"/>
    <xf numFmtId="166" fontId="25" fillId="0" borderId="19" xfId="5" applyNumberFormat="1" applyFont="1" applyBorder="1"/>
    <xf numFmtId="0" fontId="24" fillId="14" borderId="21" xfId="3" applyFont="1" applyFill="1" applyBorder="1" applyAlignment="1">
      <alignment vertical="center"/>
    </xf>
    <xf numFmtId="0" fontId="24" fillId="14" borderId="14" xfId="3" applyFont="1" applyFill="1" applyBorder="1" applyAlignment="1">
      <alignment vertical="center"/>
    </xf>
    <xf numFmtId="0" fontId="24" fillId="14" borderId="13" xfId="3" applyFont="1" applyFill="1" applyBorder="1" applyAlignment="1">
      <alignment vertical="center"/>
    </xf>
    <xf numFmtId="0" fontId="24" fillId="14" borderId="22" xfId="3" applyFont="1" applyFill="1" applyBorder="1" applyAlignment="1">
      <alignment vertical="center"/>
    </xf>
    <xf numFmtId="169" fontId="24" fillId="14" borderId="23" xfId="5" applyFont="1" applyFill="1" applyBorder="1" applyAlignment="1">
      <alignment vertical="center"/>
    </xf>
    <xf numFmtId="168" fontId="24" fillId="14" borderId="22" xfId="5" applyNumberFormat="1" applyFont="1" applyFill="1" applyBorder="1" applyAlignment="1">
      <alignment vertical="center"/>
    </xf>
    <xf numFmtId="0" fontId="25" fillId="15" borderId="0" xfId="3" applyFont="1" applyFill="1" applyAlignment="1">
      <alignment horizontal="left" indent="3"/>
    </xf>
    <xf numFmtId="0" fontId="25" fillId="15" borderId="0" xfId="3" applyFont="1" applyFill="1"/>
    <xf numFmtId="0" fontId="26" fillId="15" borderId="0" xfId="3" applyFont="1" applyFill="1"/>
    <xf numFmtId="172" fontId="25" fillId="16" borderId="18" xfId="6" applyNumberFormat="1" applyFont="1" applyFill="1" applyBorder="1"/>
    <xf numFmtId="0" fontId="25" fillId="16" borderId="19" xfId="3" quotePrefix="1" applyFont="1" applyFill="1" applyBorder="1"/>
    <xf numFmtId="168" fontId="24" fillId="0" borderId="24" xfId="4" applyNumberFormat="1" applyFont="1" applyBorder="1" applyAlignment="1">
      <alignment horizontal="center"/>
    </xf>
    <xf numFmtId="0" fontId="24" fillId="0" borderId="24" xfId="3" applyFont="1" applyBorder="1" applyAlignment="1">
      <alignment horizontal="center"/>
    </xf>
    <xf numFmtId="170" fontId="24" fillId="0" borderId="24" xfId="5" applyNumberFormat="1" applyFont="1" applyBorder="1" applyAlignment="1">
      <alignment horizontal="center" wrapText="1"/>
    </xf>
    <xf numFmtId="166" fontId="24" fillId="0" borderId="24" xfId="5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9" fontId="5" fillId="2" borderId="4" xfId="2" applyFont="1" applyFill="1" applyBorder="1" applyAlignment="1">
      <alignment vertical="center" wrapText="1"/>
    </xf>
    <xf numFmtId="9" fontId="5" fillId="2" borderId="9" xfId="2" applyFont="1" applyFill="1" applyBorder="1" applyAlignment="1">
      <alignment vertical="center" wrapText="1"/>
    </xf>
    <xf numFmtId="3" fontId="6" fillId="2" borderId="9" xfId="0" applyNumberFormat="1" applyFont="1" applyFill="1" applyBorder="1" applyAlignment="1">
      <alignment horizontal="right" vertical="center" wrapText="1"/>
    </xf>
    <xf numFmtId="9" fontId="5" fillId="3" borderId="12" xfId="0" applyNumberFormat="1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168" fontId="27" fillId="14" borderId="18" xfId="4" applyNumberFormat="1" applyFont="1" applyFill="1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17" xfId="0" applyBorder="1"/>
    <xf numFmtId="0" fontId="0" fillId="0" borderId="29" xfId="0" applyBorder="1"/>
    <xf numFmtId="168" fontId="27" fillId="14" borderId="17" xfId="4" applyNumberFormat="1" applyFont="1" applyFill="1" applyBorder="1"/>
    <xf numFmtId="168" fontId="27" fillId="14" borderId="30" xfId="4" applyNumberFormat="1" applyFont="1" applyFill="1" applyBorder="1"/>
    <xf numFmtId="0" fontId="0" fillId="0" borderId="17" xfId="0" applyBorder="1" applyAlignment="1">
      <alignment vertical="center"/>
    </xf>
    <xf numFmtId="173" fontId="0" fillId="0" borderId="29" xfId="0" applyNumberFormat="1" applyBorder="1"/>
    <xf numFmtId="173" fontId="0" fillId="0" borderId="31" xfId="0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" fillId="0" borderId="17" xfId="0" applyFont="1" applyBorder="1"/>
    <xf numFmtId="0" fontId="2" fillId="0" borderId="1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3" fontId="10" fillId="10" borderId="6" xfId="1" applyNumberFormat="1" applyFont="1" applyFill="1" applyBorder="1" applyAlignment="1">
      <alignment horizontal="right" vertical="center"/>
    </xf>
    <xf numFmtId="3" fontId="10" fillId="10" borderId="7" xfId="1" applyNumberFormat="1" applyFont="1" applyFill="1" applyBorder="1" applyAlignment="1">
      <alignment horizontal="right" vertical="center"/>
    </xf>
    <xf numFmtId="0" fontId="8" fillId="10" borderId="5" xfId="0" applyFont="1" applyFill="1" applyBorder="1" applyAlignment="1">
      <alignment vertical="center"/>
    </xf>
    <xf numFmtId="0" fontId="9" fillId="10" borderId="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</cellXfs>
  <cellStyles count="7">
    <cellStyle name="Comma 2" xfId="5" xr:uid="{00000000-0005-0000-0000-000000000000}"/>
    <cellStyle name="Currency 2" xfId="6" xr:uid="{00000000-0005-0000-0000-000001000000}"/>
    <cellStyle name="Milliers" xfId="1" builtinId="3"/>
    <cellStyle name="Normal" xfId="0" builtinId="0"/>
    <cellStyle name="Normal 2" xfId="3" xr:uid="{00000000-0005-0000-0000-000004000000}"/>
    <cellStyle name="Percent 2" xfId="4" xr:uid="{00000000-0005-0000-0000-000005000000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4"/>
  <sheetViews>
    <sheetView workbookViewId="0">
      <selection activeCell="D4" sqref="D4"/>
    </sheetView>
  </sheetViews>
  <sheetFormatPr baseColWidth="10" defaultRowHeight="15"/>
  <cols>
    <col min="1" max="1" width="29" customWidth="1"/>
    <col min="2" max="2" width="9" customWidth="1"/>
    <col min="3" max="4" width="17.6640625" customWidth="1"/>
    <col min="5" max="5" width="15.83203125" customWidth="1"/>
    <col min="6" max="6" width="15.5" customWidth="1"/>
    <col min="7" max="7" width="17" customWidth="1"/>
  </cols>
  <sheetData>
    <row r="2" spans="1:7" ht="26" thickBot="1">
      <c r="A2" s="102" t="s">
        <v>132</v>
      </c>
      <c r="B2" s="102"/>
      <c r="C2" s="102"/>
      <c r="D2" s="102"/>
      <c r="E2" s="102"/>
      <c r="F2" s="102"/>
      <c r="G2" s="102"/>
    </row>
    <row r="3" spans="1:7" ht="23" customHeight="1" thickBot="1">
      <c r="A3" s="1" t="s">
        <v>0</v>
      </c>
      <c r="B3" s="81" t="s">
        <v>108</v>
      </c>
      <c r="C3" s="86" t="s">
        <v>1</v>
      </c>
      <c r="D3" s="2" t="s">
        <v>114</v>
      </c>
      <c r="E3" s="2" t="s">
        <v>115</v>
      </c>
      <c r="F3" s="2" t="s">
        <v>116</v>
      </c>
      <c r="G3" s="54" t="s">
        <v>117</v>
      </c>
    </row>
    <row r="4" spans="1:7" ht="35" customHeight="1" thickBot="1">
      <c r="A4" s="45" t="s">
        <v>106</v>
      </c>
      <c r="B4" s="83" t="e">
        <f>C4/C7</f>
        <v>#DIV/0!</v>
      </c>
      <c r="C4" s="38">
        <f>SUM(D4:G4)</f>
        <v>0</v>
      </c>
      <c r="D4" s="84">
        <f>'Tab 3 Activités'!E42</f>
        <v>0</v>
      </c>
      <c r="E4" s="84">
        <f>'Tab 3 Activités'!H42</f>
        <v>0</v>
      </c>
      <c r="F4" s="84">
        <f>'Tab 3 Activités'!K42</f>
        <v>0</v>
      </c>
      <c r="G4" s="84">
        <f>'Tab 3 Activités'!N42</f>
        <v>0</v>
      </c>
    </row>
    <row r="5" spans="1:7" ht="35" customHeight="1" thickBot="1">
      <c r="A5" s="46" t="s">
        <v>107</v>
      </c>
      <c r="B5" s="82" t="e">
        <f>C5/C7</f>
        <v>#DIV/0!</v>
      </c>
      <c r="C5" s="38">
        <f>SUM(D5:G5)</f>
        <v>0</v>
      </c>
      <c r="D5" s="38">
        <f>'Tab 2 Personnel'!H9</f>
        <v>0</v>
      </c>
      <c r="E5" s="38">
        <f>'Tab 2 Personnel'!J9</f>
        <v>0</v>
      </c>
      <c r="F5" s="38">
        <f>'Tab 2 Personnel'!L9</f>
        <v>0</v>
      </c>
      <c r="G5" s="38">
        <f>'Tab 2 Personnel'!N9</f>
        <v>0</v>
      </c>
    </row>
    <row r="6" spans="1:7" ht="15" customHeight="1" thickBot="1">
      <c r="A6" s="46"/>
      <c r="B6" s="82"/>
      <c r="C6" s="38"/>
      <c r="D6" s="38"/>
      <c r="E6" s="38"/>
      <c r="F6" s="38"/>
      <c r="G6" s="38"/>
    </row>
    <row r="7" spans="1:7" ht="25" customHeight="1" thickBot="1">
      <c r="A7" s="47" t="s">
        <v>2</v>
      </c>
      <c r="B7" s="85" t="e">
        <f>SUM(B4:B6)</f>
        <v>#DIV/0!</v>
      </c>
      <c r="C7" s="48">
        <f>SUM(C4:C6)</f>
        <v>0</v>
      </c>
      <c r="D7" s="48">
        <f t="shared" ref="D7:G7" si="0">SUM(D4:D6)</f>
        <v>0</v>
      </c>
      <c r="E7" s="48">
        <f t="shared" si="0"/>
        <v>0</v>
      </c>
      <c r="F7" s="48">
        <f t="shared" si="0"/>
        <v>0</v>
      </c>
      <c r="G7" s="48">
        <f t="shared" si="0"/>
        <v>0</v>
      </c>
    </row>
    <row r="9" spans="1:7">
      <c r="C9" s="34"/>
      <c r="D9" s="34"/>
      <c r="E9" s="34"/>
      <c r="F9" s="34"/>
      <c r="G9" s="34"/>
    </row>
    <row r="11" spans="1:7">
      <c r="C11" s="34"/>
      <c r="D11" s="34"/>
      <c r="E11" s="34"/>
      <c r="F11" s="34"/>
      <c r="G11" s="34"/>
    </row>
    <row r="12" spans="1:7">
      <c r="D12" s="34"/>
      <c r="E12" s="34"/>
      <c r="F12" s="34"/>
      <c r="G12" s="34"/>
    </row>
    <row r="14" spans="1:7">
      <c r="D14" s="34"/>
      <c r="E14" s="34"/>
      <c r="F14" s="34"/>
      <c r="G14" s="34"/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N9"/>
  <sheetViews>
    <sheetView zoomScale="89" workbookViewId="0">
      <selection activeCell="F24" sqref="F24"/>
    </sheetView>
  </sheetViews>
  <sheetFormatPr baseColWidth="10" defaultRowHeight="15"/>
  <cols>
    <col min="2" max="2" width="17.1640625" customWidth="1"/>
    <col min="3" max="3" width="29" customWidth="1"/>
    <col min="4" max="4" width="42.33203125" customWidth="1"/>
    <col min="5" max="5" width="13" customWidth="1"/>
    <col min="7" max="7" width="11.83203125" customWidth="1"/>
    <col min="14" max="14" width="15.5" customWidth="1"/>
  </cols>
  <sheetData>
    <row r="3" spans="1:14" ht="29">
      <c r="A3" s="55" t="s">
        <v>110</v>
      </c>
      <c r="B3" s="56"/>
      <c r="C3" s="57"/>
      <c r="D3" s="57"/>
      <c r="E3" s="77" t="s">
        <v>100</v>
      </c>
      <c r="F3" s="78" t="s">
        <v>102</v>
      </c>
      <c r="G3" s="79" t="s">
        <v>104</v>
      </c>
      <c r="H3" s="80" t="s">
        <v>118</v>
      </c>
      <c r="I3" s="79" t="s">
        <v>104</v>
      </c>
      <c r="J3" s="80" t="s">
        <v>119</v>
      </c>
      <c r="K3" s="79" t="s">
        <v>104</v>
      </c>
      <c r="L3" s="80" t="s">
        <v>120</v>
      </c>
      <c r="M3" s="79" t="s">
        <v>104</v>
      </c>
      <c r="N3" s="80" t="s">
        <v>121</v>
      </c>
    </row>
    <row r="4" spans="1:14" ht="46" customHeight="1">
      <c r="A4" s="59">
        <v>1</v>
      </c>
      <c r="B4" s="72" t="s">
        <v>99</v>
      </c>
      <c r="C4" s="73" t="s">
        <v>103</v>
      </c>
      <c r="D4" s="74" t="s">
        <v>101</v>
      </c>
      <c r="E4" s="75"/>
      <c r="F4" s="76" t="s">
        <v>98</v>
      </c>
      <c r="G4" s="60"/>
      <c r="H4" s="61">
        <f>E4*G4</f>
        <v>0</v>
      </c>
      <c r="I4" s="60"/>
      <c r="J4" s="61">
        <f>I4*E4</f>
        <v>0</v>
      </c>
      <c r="K4" s="60"/>
      <c r="L4" s="61">
        <f>E4*K4</f>
        <v>0</v>
      </c>
      <c r="M4" s="60"/>
      <c r="N4" s="61">
        <f>E4*M4</f>
        <v>0</v>
      </c>
    </row>
    <row r="5" spans="1:14" ht="46" customHeight="1">
      <c r="A5" s="59">
        <f>A4+1</f>
        <v>2</v>
      </c>
      <c r="B5" s="72" t="s">
        <v>99</v>
      </c>
      <c r="C5" s="73" t="s">
        <v>103</v>
      </c>
      <c r="D5" s="74" t="s">
        <v>101</v>
      </c>
      <c r="E5" s="75"/>
      <c r="F5" s="76" t="s">
        <v>98</v>
      </c>
      <c r="G5" s="60"/>
      <c r="H5" s="61">
        <f t="shared" ref="H5:H7" si="0">E5*G5</f>
        <v>0</v>
      </c>
      <c r="I5" s="60"/>
      <c r="J5" s="61">
        <f t="shared" ref="J5:J7" si="1">I5*E5</f>
        <v>0</v>
      </c>
      <c r="K5" s="60"/>
      <c r="L5" s="61">
        <f t="shared" ref="L5:L7" si="2">E5*K5</f>
        <v>0</v>
      </c>
      <c r="M5" s="60"/>
      <c r="N5" s="61">
        <f t="shared" ref="N5:N7" si="3">E5*M5</f>
        <v>0</v>
      </c>
    </row>
    <row r="6" spans="1:14" ht="46" customHeight="1">
      <c r="A6" s="59">
        <f t="shared" ref="A6:A7" si="4">A5+1</f>
        <v>3</v>
      </c>
      <c r="B6" s="72" t="s">
        <v>99</v>
      </c>
      <c r="C6" s="73" t="s">
        <v>103</v>
      </c>
      <c r="D6" s="74" t="s">
        <v>101</v>
      </c>
      <c r="E6" s="75"/>
      <c r="F6" s="76" t="s">
        <v>98</v>
      </c>
      <c r="G6" s="60"/>
      <c r="H6" s="61">
        <f t="shared" si="0"/>
        <v>0</v>
      </c>
      <c r="I6" s="60"/>
      <c r="J6" s="61">
        <f t="shared" si="1"/>
        <v>0</v>
      </c>
      <c r="K6" s="60"/>
      <c r="L6" s="61">
        <f t="shared" si="2"/>
        <v>0</v>
      </c>
      <c r="M6" s="60"/>
      <c r="N6" s="61">
        <f t="shared" si="3"/>
        <v>0</v>
      </c>
    </row>
    <row r="7" spans="1:14" ht="46" customHeight="1">
      <c r="A7" s="59">
        <f t="shared" si="4"/>
        <v>4</v>
      </c>
      <c r="B7" s="72" t="s">
        <v>99</v>
      </c>
      <c r="C7" s="73" t="s">
        <v>103</v>
      </c>
      <c r="D7" s="74" t="s">
        <v>101</v>
      </c>
      <c r="E7" s="75"/>
      <c r="F7" s="76" t="s">
        <v>98</v>
      </c>
      <c r="G7" s="60"/>
      <c r="H7" s="61">
        <f t="shared" si="0"/>
        <v>0</v>
      </c>
      <c r="I7" s="60"/>
      <c r="J7" s="61">
        <f t="shared" si="1"/>
        <v>0</v>
      </c>
      <c r="K7" s="60"/>
      <c r="L7" s="61">
        <f t="shared" si="2"/>
        <v>0</v>
      </c>
      <c r="M7" s="60"/>
      <c r="N7" s="61">
        <f t="shared" si="3"/>
        <v>0</v>
      </c>
    </row>
    <row r="8" spans="1:14">
      <c r="A8" s="59"/>
      <c r="B8" s="62"/>
      <c r="C8" s="62"/>
      <c r="D8" s="62"/>
      <c r="E8" s="63"/>
      <c r="F8" s="58"/>
      <c r="G8" s="64"/>
      <c r="H8" s="65"/>
      <c r="I8" s="64"/>
      <c r="J8" s="65"/>
      <c r="K8" s="64"/>
      <c r="L8" s="65"/>
      <c r="M8" s="64"/>
      <c r="N8" s="65"/>
    </row>
    <row r="9" spans="1:14">
      <c r="A9" s="66" t="s">
        <v>105</v>
      </c>
      <c r="B9" s="67"/>
      <c r="C9" s="67"/>
      <c r="D9" s="67"/>
      <c r="E9" s="68"/>
      <c r="F9" s="69"/>
      <c r="G9" s="70"/>
      <c r="H9" s="71">
        <f>SUBTOTAL(9,H4:H8)</f>
        <v>0</v>
      </c>
      <c r="I9" s="70"/>
      <c r="J9" s="71">
        <f>SUBTOTAL(9,J4:J8)</f>
        <v>0</v>
      </c>
      <c r="K9" s="70"/>
      <c r="L9" s="71">
        <f>SUBTOTAL(9,L4:L8)</f>
        <v>0</v>
      </c>
      <c r="M9" s="70"/>
      <c r="N9" s="71">
        <f>SUBTOTAL(9,N4:N8)</f>
        <v>0</v>
      </c>
    </row>
  </sheetData>
  <dataValidations count="1">
    <dataValidation type="list" allowBlank="1" showInputMessage="1" showErrorMessage="1" sqref="D4:D7" xr:uid="{00000000-0002-0000-0100-000000000000}">
      <formula1>$D$3:$D$5</formula1>
    </dataValidation>
  </dataValidations>
  <pageMargins left="0.7" right="0.7" top="0.75" bottom="0.75" header="0.3" footer="0.3"/>
  <pageSetup paperSize="9" scale="57" orientation="landscape" horizontalDpi="0" verticalDpi="0"/>
  <ignoredErrors>
    <ignoredError sqref="J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42"/>
  <sheetViews>
    <sheetView tabSelected="1" zoomScale="115" workbookViewId="0">
      <pane xSplit="1" ySplit="6" topLeftCell="B12" activePane="bottomRight" state="frozen"/>
      <selection pane="topRight" activeCell="C1" sqref="C1"/>
      <selection pane="bottomLeft" activeCell="A5" sqref="A5"/>
      <selection pane="bottomRight" activeCell="A2" sqref="A2:E26"/>
    </sheetView>
  </sheetViews>
  <sheetFormatPr baseColWidth="10" defaultRowHeight="15"/>
  <cols>
    <col min="1" max="1" width="49.6640625" customWidth="1"/>
    <col min="2" max="2" width="14.5" customWidth="1"/>
    <col min="3" max="3" width="15" customWidth="1"/>
    <col min="4" max="4" width="15.33203125" customWidth="1"/>
    <col min="5" max="5" width="17.5" style="34" customWidth="1"/>
    <col min="6" max="6" width="14.5" customWidth="1"/>
    <col min="7" max="7" width="17.33203125" customWidth="1"/>
    <col min="8" max="8" width="17.5" customWidth="1"/>
    <col min="9" max="9" width="10.83203125" customWidth="1"/>
    <col min="10" max="10" width="11.6640625" bestFit="1" customWidth="1"/>
    <col min="11" max="11" width="14.83203125" customWidth="1"/>
    <col min="12" max="12" width="13" bestFit="1" customWidth="1"/>
    <col min="13" max="13" width="11.6640625" bestFit="1" customWidth="1"/>
    <col min="14" max="14" width="15.5" bestFit="1" customWidth="1"/>
    <col min="16" max="16" width="7" customWidth="1"/>
    <col min="17" max="17" width="7.1640625" customWidth="1"/>
  </cols>
  <sheetData>
    <row r="2" spans="1:14">
      <c r="B2" t="s">
        <v>131</v>
      </c>
      <c r="C2" s="36"/>
    </row>
    <row r="3" spans="1:14">
      <c r="A3" s="3" t="s">
        <v>109</v>
      </c>
    </row>
    <row r="5" spans="1:14">
      <c r="A5" s="103" t="s">
        <v>3</v>
      </c>
      <c r="B5" s="108" t="s">
        <v>114</v>
      </c>
      <c r="C5" s="109"/>
      <c r="D5" s="109"/>
      <c r="E5" s="110"/>
      <c r="F5" s="109" t="s">
        <v>115</v>
      </c>
      <c r="G5" s="109"/>
      <c r="H5" s="110"/>
      <c r="I5" s="109" t="s">
        <v>116</v>
      </c>
      <c r="J5" s="109"/>
      <c r="K5" s="110"/>
      <c r="L5" s="109" t="s">
        <v>117</v>
      </c>
      <c r="M5" s="109"/>
      <c r="N5" s="110"/>
    </row>
    <row r="6" spans="1:14" ht="32">
      <c r="A6" s="103"/>
      <c r="B6" s="6" t="s">
        <v>130</v>
      </c>
      <c r="C6" s="7" t="s">
        <v>4</v>
      </c>
      <c r="D6" s="7" t="s">
        <v>5</v>
      </c>
      <c r="E6" s="35" t="s">
        <v>6</v>
      </c>
      <c r="F6" s="7" t="s">
        <v>4</v>
      </c>
      <c r="G6" s="7" t="s">
        <v>5</v>
      </c>
      <c r="H6" s="8" t="s">
        <v>6</v>
      </c>
      <c r="I6" s="7" t="s">
        <v>4</v>
      </c>
      <c r="J6" s="7" t="s">
        <v>5</v>
      </c>
      <c r="K6" s="8" t="s">
        <v>6</v>
      </c>
      <c r="L6" s="7" t="s">
        <v>4</v>
      </c>
      <c r="M6" s="7" t="s">
        <v>5</v>
      </c>
      <c r="N6" s="8" t="s">
        <v>6</v>
      </c>
    </row>
    <row r="7" spans="1:14">
      <c r="A7" s="106" t="s">
        <v>96</v>
      </c>
      <c r="B7" s="106"/>
      <c r="C7" s="106"/>
      <c r="D7" s="107"/>
      <c r="E7" s="104"/>
      <c r="F7" s="49"/>
      <c r="G7" s="49"/>
      <c r="H7" s="104"/>
      <c r="I7" s="49"/>
      <c r="J7" s="49"/>
      <c r="K7" s="104"/>
      <c r="L7" s="49"/>
      <c r="M7" s="49"/>
      <c r="N7" s="104"/>
    </row>
    <row r="8" spans="1:14">
      <c r="A8" s="106"/>
      <c r="B8" s="106"/>
      <c r="C8" s="106"/>
      <c r="D8" s="107"/>
      <c r="E8" s="105"/>
      <c r="F8" s="49"/>
      <c r="G8" s="49"/>
      <c r="H8" s="105"/>
      <c r="I8" s="49"/>
      <c r="J8" s="49"/>
      <c r="K8" s="105"/>
      <c r="L8" s="49"/>
      <c r="M8" s="49"/>
      <c r="N8" s="105"/>
    </row>
    <row r="9" spans="1:14">
      <c r="A9" s="39"/>
      <c r="B9" s="41"/>
      <c r="C9" s="41"/>
      <c r="D9" s="41"/>
      <c r="E9" s="40"/>
      <c r="F9" s="42"/>
      <c r="G9" s="42"/>
      <c r="H9" s="40"/>
      <c r="I9" s="42"/>
      <c r="J9" s="42"/>
      <c r="K9" s="40"/>
      <c r="L9" s="42"/>
      <c r="M9" s="42"/>
      <c r="N9" s="40"/>
    </row>
    <row r="10" spans="1:14">
      <c r="A10" s="31" t="s">
        <v>97</v>
      </c>
      <c r="B10" s="32"/>
      <c r="C10" s="32"/>
      <c r="D10" s="32"/>
      <c r="E10" s="33"/>
      <c r="F10" s="9"/>
      <c r="G10" s="9"/>
      <c r="H10" s="33"/>
      <c r="I10" s="9"/>
      <c r="J10" s="9"/>
      <c r="K10" s="33"/>
      <c r="L10" s="9"/>
      <c r="M10" s="9"/>
      <c r="N10" s="33"/>
    </row>
    <row r="11" spans="1:14" ht="54" customHeight="1">
      <c r="A11" s="31" t="s">
        <v>133</v>
      </c>
      <c r="B11" s="32"/>
      <c r="C11" s="32"/>
      <c r="D11" s="32"/>
      <c r="E11" s="33"/>
      <c r="F11" s="9"/>
      <c r="G11" s="9"/>
      <c r="H11" s="33"/>
      <c r="I11" s="9"/>
      <c r="J11" s="9"/>
      <c r="K11" s="33"/>
      <c r="L11" s="9"/>
      <c r="M11" s="9"/>
      <c r="N11" s="33"/>
    </row>
    <row r="12" spans="1:14">
      <c r="A12" s="11"/>
      <c r="B12" s="37"/>
      <c r="C12" s="29"/>
      <c r="D12" s="10"/>
      <c r="E12" s="30">
        <f>B12*C12*D12</f>
        <v>0</v>
      </c>
      <c r="F12" s="29"/>
      <c r="G12" s="10"/>
      <c r="H12" s="30">
        <f>B12*F12*G12</f>
        <v>0</v>
      </c>
      <c r="I12" s="29"/>
      <c r="J12" s="29"/>
      <c r="K12" s="30">
        <f>B12*I12*J12</f>
        <v>0</v>
      </c>
      <c r="L12" s="10"/>
      <c r="M12" s="10"/>
      <c r="N12" s="30">
        <f>B12*L12*M12</f>
        <v>0</v>
      </c>
    </row>
    <row r="13" spans="1:14">
      <c r="A13" s="11"/>
      <c r="B13" s="37"/>
      <c r="C13" s="29"/>
      <c r="D13" s="10"/>
      <c r="E13" s="30">
        <f t="shared" ref="E13:E18" si="0">B13*C13*D13</f>
        <v>0</v>
      </c>
      <c r="F13" s="29"/>
      <c r="G13" s="10"/>
      <c r="H13" s="30">
        <f t="shared" ref="H13:H18" si="1">B13*F13*G13</f>
        <v>0</v>
      </c>
      <c r="I13" s="29"/>
      <c r="J13" s="29"/>
      <c r="K13" s="30">
        <f t="shared" ref="K13:K18" si="2">B13*I13*J13</f>
        <v>0</v>
      </c>
      <c r="L13" s="10"/>
      <c r="M13" s="10"/>
      <c r="N13" s="30">
        <f t="shared" ref="N13:N18" si="3">B13*L13*M13</f>
        <v>0</v>
      </c>
    </row>
    <row r="14" spans="1:14">
      <c r="A14" s="11"/>
      <c r="B14" s="37"/>
      <c r="C14" s="29"/>
      <c r="D14" s="10"/>
      <c r="E14" s="30">
        <f t="shared" si="0"/>
        <v>0</v>
      </c>
      <c r="F14" s="29"/>
      <c r="G14" s="10"/>
      <c r="H14" s="30">
        <f t="shared" si="1"/>
        <v>0</v>
      </c>
      <c r="I14" s="29"/>
      <c r="J14" s="29"/>
      <c r="K14" s="30">
        <f t="shared" si="2"/>
        <v>0</v>
      </c>
      <c r="L14" s="10"/>
      <c r="M14" s="10"/>
      <c r="N14" s="30">
        <f t="shared" si="3"/>
        <v>0</v>
      </c>
    </row>
    <row r="15" spans="1:14">
      <c r="A15" s="11"/>
      <c r="B15" s="37"/>
      <c r="C15" s="29"/>
      <c r="D15" s="10"/>
      <c r="E15" s="30">
        <f t="shared" si="0"/>
        <v>0</v>
      </c>
      <c r="F15" s="29"/>
      <c r="G15" s="10"/>
      <c r="H15" s="30">
        <f t="shared" si="1"/>
        <v>0</v>
      </c>
      <c r="I15" s="29"/>
      <c r="J15" s="29"/>
      <c r="K15" s="30">
        <f t="shared" si="2"/>
        <v>0</v>
      </c>
      <c r="L15" s="10"/>
      <c r="M15" s="10"/>
      <c r="N15" s="30">
        <f t="shared" si="3"/>
        <v>0</v>
      </c>
    </row>
    <row r="16" spans="1:14">
      <c r="A16" s="11"/>
      <c r="B16" s="37"/>
      <c r="C16" s="29"/>
      <c r="D16" s="10"/>
      <c r="E16" s="30">
        <f t="shared" si="0"/>
        <v>0</v>
      </c>
      <c r="F16" s="29"/>
      <c r="G16" s="10"/>
      <c r="H16" s="30">
        <f t="shared" si="1"/>
        <v>0</v>
      </c>
      <c r="I16" s="29"/>
      <c r="J16" s="29"/>
      <c r="K16" s="30">
        <f t="shared" si="2"/>
        <v>0</v>
      </c>
      <c r="L16" s="10"/>
      <c r="M16" s="10"/>
      <c r="N16" s="30">
        <f t="shared" si="3"/>
        <v>0</v>
      </c>
    </row>
    <row r="17" spans="1:14">
      <c r="A17" s="11"/>
      <c r="B17" s="37"/>
      <c r="C17" s="29"/>
      <c r="D17" s="10"/>
      <c r="E17" s="30">
        <f t="shared" si="0"/>
        <v>0</v>
      </c>
      <c r="F17" s="29"/>
      <c r="G17" s="10"/>
      <c r="H17" s="30">
        <f t="shared" si="1"/>
        <v>0</v>
      </c>
      <c r="I17" s="29"/>
      <c r="J17" s="29"/>
      <c r="K17" s="30">
        <f t="shared" si="2"/>
        <v>0</v>
      </c>
      <c r="L17" s="10"/>
      <c r="M17" s="10"/>
      <c r="N17" s="30">
        <f t="shared" si="3"/>
        <v>0</v>
      </c>
    </row>
    <row r="18" spans="1:14">
      <c r="A18" s="11"/>
      <c r="B18" s="37"/>
      <c r="C18" s="29"/>
      <c r="D18" s="10"/>
      <c r="E18" s="30">
        <f t="shared" si="0"/>
        <v>0</v>
      </c>
      <c r="F18" s="29"/>
      <c r="G18" s="10"/>
      <c r="H18" s="30">
        <f t="shared" si="1"/>
        <v>0</v>
      </c>
      <c r="I18" s="29"/>
      <c r="J18" s="29"/>
      <c r="K18" s="30">
        <f t="shared" si="2"/>
        <v>0</v>
      </c>
      <c r="L18" s="10"/>
      <c r="M18" s="10"/>
      <c r="N18" s="30">
        <f t="shared" si="3"/>
        <v>0</v>
      </c>
    </row>
    <row r="19" spans="1:14" ht="16">
      <c r="A19" s="50" t="s">
        <v>111</v>
      </c>
      <c r="B19" s="51"/>
      <c r="C19" s="51"/>
      <c r="D19" s="51"/>
      <c r="E19" s="51">
        <f>SUM(E12:E18)</f>
        <v>0</v>
      </c>
      <c r="F19" s="51"/>
      <c r="G19" s="51"/>
      <c r="H19" s="51">
        <f>SUM(H12:H18)</f>
        <v>0</v>
      </c>
      <c r="I19" s="51"/>
      <c r="J19" s="51"/>
      <c r="K19" s="51">
        <f>SUM(K12:K18)</f>
        <v>0</v>
      </c>
      <c r="L19" s="51"/>
      <c r="M19" s="51"/>
      <c r="N19" s="51">
        <f>SUM(N12:N18)</f>
        <v>0</v>
      </c>
    </row>
    <row r="20" spans="1:14">
      <c r="A20" s="31" t="s">
        <v>97</v>
      </c>
      <c r="B20" s="32"/>
      <c r="C20" s="32"/>
      <c r="D20" s="32"/>
      <c r="E20" s="33"/>
      <c r="F20" s="9"/>
      <c r="G20" s="9"/>
      <c r="H20" s="33"/>
      <c r="I20" s="9"/>
      <c r="J20" s="9"/>
      <c r="K20" s="33"/>
      <c r="L20" s="9"/>
      <c r="M20" s="9"/>
      <c r="N20" s="33"/>
    </row>
    <row r="21" spans="1:14" ht="38" customHeight="1">
      <c r="A21" s="31" t="s">
        <v>133</v>
      </c>
      <c r="B21" s="32"/>
      <c r="C21" s="32"/>
      <c r="D21" s="32"/>
      <c r="E21" s="33"/>
      <c r="F21" s="9"/>
      <c r="G21" s="9"/>
      <c r="H21" s="33"/>
      <c r="I21" s="9"/>
      <c r="J21" s="9"/>
      <c r="K21" s="33"/>
      <c r="L21" s="9"/>
      <c r="M21" s="9"/>
      <c r="N21" s="33"/>
    </row>
    <row r="22" spans="1:14">
      <c r="A22" s="11"/>
      <c r="B22" s="37"/>
      <c r="C22" s="29"/>
      <c r="D22" s="10"/>
      <c r="E22" s="30">
        <f>B22*C22*D22</f>
        <v>0</v>
      </c>
      <c r="F22" s="29"/>
      <c r="G22" s="10"/>
      <c r="H22" s="30">
        <f>B22*F22*G22</f>
        <v>0</v>
      </c>
      <c r="I22" s="29"/>
      <c r="J22" s="29"/>
      <c r="K22" s="30">
        <f>B22*I22*J22</f>
        <v>0</v>
      </c>
      <c r="L22" s="10"/>
      <c r="M22" s="10"/>
      <c r="N22" s="30">
        <f>B22*L22*M22</f>
        <v>0</v>
      </c>
    </row>
    <row r="23" spans="1:14">
      <c r="A23" s="11"/>
      <c r="B23" s="37"/>
      <c r="C23" s="29"/>
      <c r="D23" s="10"/>
      <c r="E23" s="30">
        <f t="shared" ref="E23:E28" si="4">B23*C23*D23</f>
        <v>0</v>
      </c>
      <c r="F23" s="29"/>
      <c r="G23" s="10"/>
      <c r="H23" s="30">
        <f t="shared" ref="H23:H28" si="5">B23*F23*G23</f>
        <v>0</v>
      </c>
      <c r="I23" s="29"/>
      <c r="J23" s="29"/>
      <c r="K23" s="30">
        <f t="shared" ref="K23:K28" si="6">B23*I23*J23</f>
        <v>0</v>
      </c>
      <c r="L23" s="10"/>
      <c r="M23" s="10"/>
      <c r="N23" s="30">
        <f t="shared" ref="N23:N28" si="7">B23*L23*M23</f>
        <v>0</v>
      </c>
    </row>
    <row r="24" spans="1:14">
      <c r="A24" s="11"/>
      <c r="B24" s="37"/>
      <c r="C24" s="29"/>
      <c r="D24" s="10"/>
      <c r="E24" s="30">
        <f t="shared" si="4"/>
        <v>0</v>
      </c>
      <c r="F24" s="29"/>
      <c r="G24" s="10"/>
      <c r="H24" s="30">
        <f t="shared" si="5"/>
        <v>0</v>
      </c>
      <c r="I24" s="29"/>
      <c r="J24" s="29"/>
      <c r="K24" s="30">
        <f t="shared" si="6"/>
        <v>0</v>
      </c>
      <c r="L24" s="10"/>
      <c r="M24" s="10"/>
      <c r="N24" s="30">
        <f t="shared" si="7"/>
        <v>0</v>
      </c>
    </row>
    <row r="25" spans="1:14">
      <c r="A25" s="11"/>
      <c r="B25" s="37"/>
      <c r="C25" s="29"/>
      <c r="D25" s="10"/>
      <c r="E25" s="30">
        <f t="shared" si="4"/>
        <v>0</v>
      </c>
      <c r="F25" s="29"/>
      <c r="G25" s="10"/>
      <c r="H25" s="30">
        <f t="shared" si="5"/>
        <v>0</v>
      </c>
      <c r="I25" s="29"/>
      <c r="J25" s="29"/>
      <c r="K25" s="30">
        <f t="shared" si="6"/>
        <v>0</v>
      </c>
      <c r="L25" s="10"/>
      <c r="M25" s="10"/>
      <c r="N25" s="30">
        <f t="shared" si="7"/>
        <v>0</v>
      </c>
    </row>
    <row r="26" spans="1:14">
      <c r="A26" s="11"/>
      <c r="B26" s="37"/>
      <c r="C26" s="29"/>
      <c r="D26" s="10"/>
      <c r="E26" s="30">
        <f t="shared" si="4"/>
        <v>0</v>
      </c>
      <c r="F26" s="29"/>
      <c r="G26" s="10"/>
      <c r="H26" s="30">
        <f t="shared" si="5"/>
        <v>0</v>
      </c>
      <c r="I26" s="29"/>
      <c r="J26" s="29"/>
      <c r="K26" s="30">
        <f t="shared" si="6"/>
        <v>0</v>
      </c>
      <c r="L26" s="10"/>
      <c r="M26" s="10"/>
      <c r="N26" s="30">
        <f t="shared" si="7"/>
        <v>0</v>
      </c>
    </row>
    <row r="27" spans="1:14">
      <c r="A27" s="11"/>
      <c r="B27" s="37"/>
      <c r="C27" s="29"/>
      <c r="D27" s="10"/>
      <c r="E27" s="30">
        <f t="shared" si="4"/>
        <v>0</v>
      </c>
      <c r="F27" s="29"/>
      <c r="G27" s="10"/>
      <c r="H27" s="30">
        <f t="shared" si="5"/>
        <v>0</v>
      </c>
      <c r="I27" s="29"/>
      <c r="J27" s="29"/>
      <c r="K27" s="30">
        <f t="shared" si="6"/>
        <v>0</v>
      </c>
      <c r="L27" s="10"/>
      <c r="M27" s="10"/>
      <c r="N27" s="30">
        <f t="shared" si="7"/>
        <v>0</v>
      </c>
    </row>
    <row r="28" spans="1:14">
      <c r="A28" s="11"/>
      <c r="B28" s="37"/>
      <c r="C28" s="29"/>
      <c r="D28" s="10"/>
      <c r="E28" s="30">
        <f t="shared" si="4"/>
        <v>0</v>
      </c>
      <c r="F28" s="29"/>
      <c r="G28" s="10"/>
      <c r="H28" s="30">
        <f t="shared" si="5"/>
        <v>0</v>
      </c>
      <c r="I28" s="29"/>
      <c r="J28" s="29"/>
      <c r="K28" s="30">
        <f t="shared" si="6"/>
        <v>0</v>
      </c>
      <c r="L28" s="10"/>
      <c r="M28" s="10"/>
      <c r="N28" s="30">
        <f t="shared" si="7"/>
        <v>0</v>
      </c>
    </row>
    <row r="29" spans="1:14" ht="16">
      <c r="A29" s="50" t="s">
        <v>112</v>
      </c>
      <c r="B29" s="51"/>
      <c r="C29" s="51"/>
      <c r="D29" s="51"/>
      <c r="E29" s="51">
        <f>SUM(E22:E28)</f>
        <v>0</v>
      </c>
      <c r="F29" s="51"/>
      <c r="G29" s="51"/>
      <c r="H29" s="51">
        <f>SUM(H22:H28)</f>
        <v>0</v>
      </c>
      <c r="I29" s="51"/>
      <c r="J29" s="51"/>
      <c r="K29" s="51">
        <f>SUM(K22:K28)</f>
        <v>0</v>
      </c>
      <c r="L29" s="51"/>
      <c r="M29" s="51"/>
      <c r="N29" s="51">
        <f>SUM(N22:N28)</f>
        <v>0</v>
      </c>
    </row>
    <row r="30" spans="1:14">
      <c r="A30" s="31" t="s">
        <v>97</v>
      </c>
      <c r="B30" s="32"/>
      <c r="C30" s="32"/>
      <c r="D30" s="32"/>
      <c r="E30" s="33"/>
      <c r="F30" s="9"/>
      <c r="G30" s="9"/>
      <c r="H30" s="33"/>
      <c r="I30" s="9"/>
      <c r="J30" s="9"/>
      <c r="K30" s="33"/>
      <c r="L30" s="9"/>
      <c r="M30" s="9"/>
      <c r="N30" s="33"/>
    </row>
    <row r="31" spans="1:14" ht="54" customHeight="1">
      <c r="A31" s="31" t="s">
        <v>133</v>
      </c>
      <c r="B31" s="32"/>
      <c r="C31" s="32"/>
      <c r="D31" s="32"/>
      <c r="E31" s="33"/>
      <c r="F31" s="9"/>
      <c r="G31" s="9"/>
      <c r="H31" s="33"/>
      <c r="I31" s="9"/>
      <c r="J31" s="9"/>
      <c r="K31" s="33"/>
      <c r="L31" s="9"/>
      <c r="M31" s="9"/>
      <c r="N31" s="33"/>
    </row>
    <row r="32" spans="1:14">
      <c r="A32" s="11"/>
      <c r="B32" s="37"/>
      <c r="C32" s="29"/>
      <c r="D32" s="10"/>
      <c r="E32" s="30">
        <f>B32*C32*D32</f>
        <v>0</v>
      </c>
      <c r="F32" s="29"/>
      <c r="G32" s="10"/>
      <c r="H32" s="30">
        <f>B32*F32*G32</f>
        <v>0</v>
      </c>
      <c r="I32" s="29"/>
      <c r="J32" s="29"/>
      <c r="K32" s="30">
        <f>B32*I32*J32</f>
        <v>0</v>
      </c>
      <c r="L32" s="10"/>
      <c r="M32" s="10"/>
      <c r="N32" s="30">
        <f>B32*L32*M32</f>
        <v>0</v>
      </c>
    </row>
    <row r="33" spans="1:14">
      <c r="A33" s="11"/>
      <c r="B33" s="37"/>
      <c r="C33" s="29"/>
      <c r="D33" s="10"/>
      <c r="E33" s="30">
        <f t="shared" ref="E33:E38" si="8">B33*C33*D33</f>
        <v>0</v>
      </c>
      <c r="F33" s="29"/>
      <c r="G33" s="10"/>
      <c r="H33" s="30">
        <f t="shared" ref="H33:H38" si="9">B33*F33*G33</f>
        <v>0</v>
      </c>
      <c r="I33" s="29"/>
      <c r="J33" s="29"/>
      <c r="K33" s="30">
        <f t="shared" ref="K33:K38" si="10">B33*I33*J33</f>
        <v>0</v>
      </c>
      <c r="L33" s="10"/>
      <c r="M33" s="10"/>
      <c r="N33" s="30">
        <f t="shared" ref="N33:N38" si="11">B33*L33*M33</f>
        <v>0</v>
      </c>
    </row>
    <row r="34" spans="1:14">
      <c r="A34" s="11"/>
      <c r="B34" s="37"/>
      <c r="C34" s="29"/>
      <c r="D34" s="10"/>
      <c r="E34" s="30">
        <f t="shared" si="8"/>
        <v>0</v>
      </c>
      <c r="F34" s="29"/>
      <c r="G34" s="10"/>
      <c r="H34" s="30">
        <f t="shared" si="9"/>
        <v>0</v>
      </c>
      <c r="I34" s="29"/>
      <c r="J34" s="29"/>
      <c r="K34" s="30">
        <f t="shared" si="10"/>
        <v>0</v>
      </c>
      <c r="L34" s="10"/>
      <c r="M34" s="10"/>
      <c r="N34" s="30">
        <f t="shared" si="11"/>
        <v>0</v>
      </c>
    </row>
    <row r="35" spans="1:14">
      <c r="A35" s="11"/>
      <c r="B35" s="37"/>
      <c r="C35" s="29"/>
      <c r="D35" s="10"/>
      <c r="E35" s="30">
        <f t="shared" si="8"/>
        <v>0</v>
      </c>
      <c r="F35" s="29"/>
      <c r="G35" s="10"/>
      <c r="H35" s="30">
        <f t="shared" si="9"/>
        <v>0</v>
      </c>
      <c r="I35" s="29"/>
      <c r="J35" s="29"/>
      <c r="K35" s="30">
        <f t="shared" si="10"/>
        <v>0</v>
      </c>
      <c r="L35" s="10"/>
      <c r="M35" s="10"/>
      <c r="N35" s="30">
        <f t="shared" si="11"/>
        <v>0</v>
      </c>
    </row>
    <row r="36" spans="1:14">
      <c r="A36" s="11"/>
      <c r="B36" s="37"/>
      <c r="C36" s="29"/>
      <c r="D36" s="10"/>
      <c r="E36" s="30">
        <f t="shared" si="8"/>
        <v>0</v>
      </c>
      <c r="F36" s="29"/>
      <c r="G36" s="10"/>
      <c r="H36" s="30">
        <f t="shared" si="9"/>
        <v>0</v>
      </c>
      <c r="I36" s="29"/>
      <c r="J36" s="29"/>
      <c r="K36" s="30">
        <f t="shared" si="10"/>
        <v>0</v>
      </c>
      <c r="L36" s="10"/>
      <c r="M36" s="10"/>
      <c r="N36" s="30">
        <f t="shared" si="11"/>
        <v>0</v>
      </c>
    </row>
    <row r="37" spans="1:14">
      <c r="A37" s="11"/>
      <c r="B37" s="37"/>
      <c r="C37" s="29"/>
      <c r="D37" s="10"/>
      <c r="E37" s="30">
        <f t="shared" si="8"/>
        <v>0</v>
      </c>
      <c r="F37" s="29"/>
      <c r="G37" s="10"/>
      <c r="H37" s="30">
        <f t="shared" si="9"/>
        <v>0</v>
      </c>
      <c r="I37" s="29"/>
      <c r="J37" s="29"/>
      <c r="K37" s="30">
        <f t="shared" si="10"/>
        <v>0</v>
      </c>
      <c r="L37" s="10"/>
      <c r="M37" s="10"/>
      <c r="N37" s="30">
        <f t="shared" si="11"/>
        <v>0</v>
      </c>
    </row>
    <row r="38" spans="1:14">
      <c r="A38" s="11"/>
      <c r="B38" s="37"/>
      <c r="C38" s="29"/>
      <c r="D38" s="10"/>
      <c r="E38" s="30">
        <f t="shared" si="8"/>
        <v>0</v>
      </c>
      <c r="F38" s="29"/>
      <c r="G38" s="10"/>
      <c r="H38" s="30">
        <f t="shared" si="9"/>
        <v>0</v>
      </c>
      <c r="I38" s="29"/>
      <c r="J38" s="29"/>
      <c r="K38" s="30">
        <f t="shared" si="10"/>
        <v>0</v>
      </c>
      <c r="L38" s="10"/>
      <c r="M38" s="10"/>
      <c r="N38" s="30">
        <f t="shared" si="11"/>
        <v>0</v>
      </c>
    </row>
    <row r="39" spans="1:14" ht="16">
      <c r="A39" s="50" t="s">
        <v>113</v>
      </c>
      <c r="B39" s="51"/>
      <c r="C39" s="51"/>
      <c r="D39" s="51"/>
      <c r="E39" s="51">
        <f>SUM(E32:E38)</f>
        <v>0</v>
      </c>
      <c r="F39" s="51"/>
      <c r="G39" s="51"/>
      <c r="H39" s="51">
        <f>SUM(H32:H38)</f>
        <v>0</v>
      </c>
      <c r="I39" s="51"/>
      <c r="J39" s="51"/>
      <c r="K39" s="51">
        <f>SUM(K32:K38)</f>
        <v>0</v>
      </c>
      <c r="L39" s="51"/>
      <c r="M39" s="51"/>
      <c r="N39" s="51">
        <f>SUM(N32:N38)</f>
        <v>0</v>
      </c>
    </row>
    <row r="40" spans="1:14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1" spans="1:14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1:14">
      <c r="A42" s="52"/>
      <c r="B42" s="53"/>
      <c r="C42" s="53"/>
      <c r="D42" s="53"/>
      <c r="E42" s="53">
        <f>E39+E29+E19</f>
        <v>0</v>
      </c>
      <c r="F42" s="53"/>
      <c r="G42" s="53"/>
      <c r="H42" s="53">
        <f t="shared" ref="H42:K42" si="12">H39+H29+H19</f>
        <v>0</v>
      </c>
      <c r="I42" s="53"/>
      <c r="J42" s="53"/>
      <c r="K42" s="53">
        <f t="shared" si="12"/>
        <v>0</v>
      </c>
      <c r="L42" s="53"/>
      <c r="M42" s="53"/>
      <c r="N42" s="53">
        <f>N39+N29+N19</f>
        <v>0</v>
      </c>
    </row>
  </sheetData>
  <mergeCells count="12">
    <mergeCell ref="A5:A6"/>
    <mergeCell ref="K7:K8"/>
    <mergeCell ref="N7:N8"/>
    <mergeCell ref="H7:H8"/>
    <mergeCell ref="A7:A8"/>
    <mergeCell ref="B7:C8"/>
    <mergeCell ref="D7:D8"/>
    <mergeCell ref="E7:E8"/>
    <mergeCell ref="B5:E5"/>
    <mergeCell ref="F5:H5"/>
    <mergeCell ref="I5:K5"/>
    <mergeCell ref="L5:N5"/>
  </mergeCells>
  <pageMargins left="0.75" right="0.75" top="1" bottom="1" header="0.5" footer="0.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20"/>
  <sheetViews>
    <sheetView topLeftCell="A159" workbookViewId="0">
      <selection activeCell="F176" sqref="F176"/>
    </sheetView>
  </sheetViews>
  <sheetFormatPr baseColWidth="10" defaultRowHeight="15"/>
  <cols>
    <col min="2" max="3" width="11.83203125" bestFit="1" customWidth="1"/>
    <col min="5" max="5" width="12.83203125" bestFit="1" customWidth="1"/>
    <col min="6" max="6" width="21.83203125" customWidth="1"/>
    <col min="7" max="10" width="13.83203125" customWidth="1"/>
    <col min="11" max="11" width="13.83203125" hidden="1" customWidth="1"/>
    <col min="12" max="12" width="13.83203125" customWidth="1"/>
    <col min="13" max="13" width="17" customWidth="1"/>
    <col min="15" max="15" width="14.5" bestFit="1" customWidth="1"/>
  </cols>
  <sheetData>
    <row r="1" spans="1:13" ht="16">
      <c r="A1" s="12" t="s">
        <v>10</v>
      </c>
    </row>
    <row r="2" spans="1:13">
      <c r="H2" t="s">
        <v>11</v>
      </c>
      <c r="I2" t="s">
        <v>12</v>
      </c>
      <c r="J2" t="s">
        <v>13</v>
      </c>
      <c r="L2" t="s">
        <v>14</v>
      </c>
    </row>
    <row r="3" spans="1:13">
      <c r="A3" t="s">
        <v>15</v>
      </c>
      <c r="F3" t="s">
        <v>16</v>
      </c>
      <c r="H3" s="13">
        <v>3</v>
      </c>
      <c r="I3">
        <v>30</v>
      </c>
      <c r="J3">
        <v>3</v>
      </c>
      <c r="L3">
        <f>H3*2</f>
        <v>6</v>
      </c>
    </row>
    <row r="4" spans="1:13">
      <c r="F4" t="s">
        <v>17</v>
      </c>
      <c r="H4">
        <v>1</v>
      </c>
      <c r="I4">
        <v>30</v>
      </c>
      <c r="J4">
        <v>2</v>
      </c>
      <c r="L4">
        <f t="shared" ref="L4:L10" si="0">H4*2</f>
        <v>2</v>
      </c>
    </row>
    <row r="5" spans="1:13">
      <c r="F5" s="5" t="s">
        <v>18</v>
      </c>
      <c r="G5" s="5"/>
      <c r="H5" s="5">
        <v>3</v>
      </c>
      <c r="J5" s="5">
        <v>5</v>
      </c>
      <c r="L5">
        <f t="shared" si="0"/>
        <v>6</v>
      </c>
    </row>
    <row r="6" spans="1:13">
      <c r="F6" s="5" t="s">
        <v>19</v>
      </c>
      <c r="H6">
        <v>1</v>
      </c>
      <c r="I6">
        <v>50</v>
      </c>
      <c r="J6" s="5">
        <v>5</v>
      </c>
      <c r="L6">
        <f t="shared" si="0"/>
        <v>2</v>
      </c>
    </row>
    <row r="7" spans="1:13">
      <c r="F7" t="s">
        <v>20</v>
      </c>
      <c r="H7" s="5">
        <v>3</v>
      </c>
      <c r="I7">
        <v>30</v>
      </c>
      <c r="J7">
        <v>3</v>
      </c>
      <c r="L7">
        <f t="shared" si="0"/>
        <v>6</v>
      </c>
    </row>
    <row r="8" spans="1:13">
      <c r="F8" s="5" t="s">
        <v>21</v>
      </c>
      <c r="G8" s="5"/>
      <c r="H8" s="5">
        <v>2</v>
      </c>
      <c r="I8">
        <v>30</v>
      </c>
      <c r="J8">
        <v>3</v>
      </c>
      <c r="L8">
        <f t="shared" si="0"/>
        <v>4</v>
      </c>
    </row>
    <row r="9" spans="1:13">
      <c r="F9" s="14" t="s">
        <v>9</v>
      </c>
      <c r="G9" s="14"/>
      <c r="H9" s="14">
        <v>2</v>
      </c>
      <c r="L9">
        <f t="shared" si="0"/>
        <v>4</v>
      </c>
    </row>
    <row r="10" spans="1:13">
      <c r="F10" s="14" t="s">
        <v>91</v>
      </c>
      <c r="G10" s="14"/>
      <c r="H10" s="14">
        <v>2</v>
      </c>
      <c r="L10">
        <f t="shared" si="0"/>
        <v>4</v>
      </c>
    </row>
    <row r="11" spans="1:13">
      <c r="G11" s="4"/>
      <c r="H11" s="4">
        <f>SUM(H3:H10)</f>
        <v>17</v>
      </c>
      <c r="I11" s="4"/>
      <c r="J11" s="4"/>
      <c r="K11" s="4"/>
      <c r="L11" s="4">
        <f>SUM(L3:L10)</f>
        <v>34</v>
      </c>
    </row>
    <row r="12" spans="1:13">
      <c r="F12" t="s">
        <v>23</v>
      </c>
    </row>
    <row r="13" spans="1:13">
      <c r="F13" t="s">
        <v>16</v>
      </c>
      <c r="M13">
        <f>31906/2</f>
        <v>15953</v>
      </c>
    </row>
    <row r="14" spans="1:13">
      <c r="F14" t="s">
        <v>17</v>
      </c>
    </row>
    <row r="15" spans="1:13">
      <c r="F15" s="4" t="s">
        <v>18</v>
      </c>
      <c r="H15">
        <v>5</v>
      </c>
      <c r="M15" s="15">
        <f>31906*0.7</f>
        <v>22334.199999999997</v>
      </c>
    </row>
    <row r="16" spans="1:13">
      <c r="F16" s="4" t="s">
        <v>19</v>
      </c>
      <c r="H16">
        <v>5</v>
      </c>
    </row>
    <row r="17" spans="1:14">
      <c r="F17" t="s">
        <v>20</v>
      </c>
    </row>
    <row r="18" spans="1:14">
      <c r="F18" s="4" t="s">
        <v>21</v>
      </c>
      <c r="H18">
        <v>3</v>
      </c>
    </row>
    <row r="19" spans="1:14">
      <c r="H19">
        <f>SUM(H15:H18)</f>
        <v>13</v>
      </c>
      <c r="M19">
        <f>1467/70</f>
        <v>20.957142857142856</v>
      </c>
    </row>
    <row r="22" spans="1:14">
      <c r="F22" s="5" t="s">
        <v>24</v>
      </c>
      <c r="G22" s="5"/>
      <c r="H22">
        <v>2</v>
      </c>
      <c r="J22" s="5">
        <v>1</v>
      </c>
      <c r="M22" s="15">
        <v>33917.137597893125</v>
      </c>
    </row>
    <row r="23" spans="1:14">
      <c r="F23" s="5" t="s">
        <v>25</v>
      </c>
      <c r="G23" s="5"/>
      <c r="H23">
        <v>2</v>
      </c>
      <c r="J23" s="5">
        <v>2</v>
      </c>
      <c r="M23" s="16">
        <f>+M22*0.7</f>
        <v>23741.996318525187</v>
      </c>
    </row>
    <row r="24" spans="1:14">
      <c r="F24" t="s">
        <v>26</v>
      </c>
      <c r="H24">
        <v>2</v>
      </c>
    </row>
    <row r="26" spans="1:14">
      <c r="M26" s="17">
        <f>21*(1+0.031)^10</f>
        <v>28.497446537111646</v>
      </c>
      <c r="N26" t="s">
        <v>27</v>
      </c>
    </row>
    <row r="27" spans="1:14">
      <c r="A27" t="s">
        <v>28</v>
      </c>
      <c r="M27">
        <f>+M23/M26</f>
        <v>833.12714658860637</v>
      </c>
    </row>
    <row r="30" spans="1:14">
      <c r="G30" t="s">
        <v>29</v>
      </c>
    </row>
    <row r="31" spans="1:14">
      <c r="G31" t="s">
        <v>30</v>
      </c>
      <c r="I31" t="s">
        <v>31</v>
      </c>
    </row>
    <row r="32" spans="1:14">
      <c r="F32" t="s">
        <v>32</v>
      </c>
      <c r="G32">
        <f>9*30+50</f>
        <v>320</v>
      </c>
      <c r="H32">
        <f>+G32*0.31</f>
        <v>99.2</v>
      </c>
      <c r="I32">
        <f>+H32+G32</f>
        <v>419.2</v>
      </c>
    </row>
    <row r="33" spans="6:15">
      <c r="F33" t="s">
        <v>33</v>
      </c>
      <c r="G33">
        <v>550</v>
      </c>
      <c r="I33">
        <f>G33*0.031</f>
        <v>17.05</v>
      </c>
      <c r="J33">
        <f>I33+G33</f>
        <v>567.04999999999995</v>
      </c>
    </row>
    <row r="34" spans="6:15">
      <c r="F34" t="s">
        <v>34</v>
      </c>
      <c r="G34">
        <f>G33+(G33*0.31)</f>
        <v>720.5</v>
      </c>
    </row>
    <row r="35" spans="6:15">
      <c r="F35" t="s">
        <v>35</v>
      </c>
      <c r="G35" s="17">
        <f>G34+(G34*0.031)</f>
        <v>742.83550000000002</v>
      </c>
    </row>
    <row r="36" spans="6:15">
      <c r="F36" t="s">
        <v>36</v>
      </c>
      <c r="G36" s="17">
        <f>G35+(G35*0.031)</f>
        <v>765.86340050000001</v>
      </c>
    </row>
    <row r="37" spans="6:15">
      <c r="G37">
        <f>SUM(G32:G36)</f>
        <v>3099.1989005</v>
      </c>
    </row>
    <row r="39" spans="6:15">
      <c r="G39">
        <v>2014</v>
      </c>
      <c r="H39">
        <v>2015</v>
      </c>
      <c r="I39">
        <v>2016</v>
      </c>
      <c r="J39">
        <v>2017</v>
      </c>
    </row>
    <row r="41" spans="6:15">
      <c r="F41" t="s">
        <v>37</v>
      </c>
      <c r="G41" s="16">
        <v>43360</v>
      </c>
      <c r="H41" s="16">
        <f>+G41+(G41*0.31)</f>
        <v>56801.599999999999</v>
      </c>
      <c r="I41" s="16">
        <f>H41+H41*0.031</f>
        <v>58562.4496</v>
      </c>
      <c r="J41" s="16">
        <f>+I41+I41*0.031</f>
        <v>60377.885537599999</v>
      </c>
    </row>
    <row r="42" spans="6:15">
      <c r="F42" t="s">
        <v>12</v>
      </c>
      <c r="J42" s="18">
        <v>33917.137597893125</v>
      </c>
      <c r="L42">
        <v>10000</v>
      </c>
      <c r="M42">
        <v>25000</v>
      </c>
    </row>
    <row r="43" spans="6:15">
      <c r="F43" t="s">
        <v>38</v>
      </c>
      <c r="J43" s="19">
        <f>+J41/J42</f>
        <v>1.7801586399599527</v>
      </c>
    </row>
    <row r="44" spans="6:15">
      <c r="L44">
        <f>+L42/2500</f>
        <v>4</v>
      </c>
      <c r="M44">
        <f>+M42/2500</f>
        <v>10</v>
      </c>
      <c r="N44">
        <f>+M44+L44</f>
        <v>14</v>
      </c>
      <c r="O44">
        <f>+N44/2</f>
        <v>7</v>
      </c>
    </row>
    <row r="45" spans="6:15" ht="16">
      <c r="F45" s="20">
        <v>42360</v>
      </c>
    </row>
    <row r="48" spans="6:15">
      <c r="F48" s="21" t="s">
        <v>39</v>
      </c>
    </row>
    <row r="49" spans="1:14">
      <c r="F49">
        <v>1467</v>
      </c>
    </row>
    <row r="52" spans="1:14">
      <c r="F52">
        <v>2086</v>
      </c>
    </row>
    <row r="53" spans="1:14">
      <c r="F53">
        <f>+F49/F52*100</f>
        <v>70.325982742090119</v>
      </c>
    </row>
    <row r="54" spans="1:14">
      <c r="A54" t="s">
        <v>77</v>
      </c>
    </row>
    <row r="55" spans="1:14">
      <c r="B55" t="s">
        <v>30</v>
      </c>
      <c r="C55" s="26">
        <v>0.95</v>
      </c>
    </row>
    <row r="56" spans="1:14">
      <c r="A56" t="s">
        <v>32</v>
      </c>
      <c r="B56">
        <f>9*30+50</f>
        <v>320</v>
      </c>
      <c r="C56" s="17">
        <f>B56*0.95</f>
        <v>304</v>
      </c>
      <c r="G56" t="s">
        <v>29</v>
      </c>
    </row>
    <row r="57" spans="1:14">
      <c r="A57" t="s">
        <v>33</v>
      </c>
      <c r="B57">
        <v>550</v>
      </c>
      <c r="C57" s="17">
        <f t="shared" ref="C57:C60" si="1">B57*0.95</f>
        <v>522.5</v>
      </c>
      <c r="G57" t="s">
        <v>30</v>
      </c>
      <c r="H57" t="s">
        <v>40</v>
      </c>
      <c r="M57">
        <v>144</v>
      </c>
      <c r="N57">
        <f>M57/30</f>
        <v>4.8</v>
      </c>
    </row>
    <row r="58" spans="1:14">
      <c r="A58" t="s">
        <v>34</v>
      </c>
      <c r="B58">
        <f>B57+(B57*0.31)</f>
        <v>720.5</v>
      </c>
      <c r="C58" s="17">
        <f t="shared" si="1"/>
        <v>684.47500000000002</v>
      </c>
      <c r="F58" t="s">
        <v>32</v>
      </c>
      <c r="G58">
        <f>9*30+50</f>
        <v>320</v>
      </c>
      <c r="H58" s="16">
        <f>G58*2*29*12</f>
        <v>222720</v>
      </c>
      <c r="J58" s="17">
        <f>G58*0.75</f>
        <v>240</v>
      </c>
      <c r="L58" s="16">
        <f>H58*25</f>
        <v>5568000</v>
      </c>
    </row>
    <row r="59" spans="1:14">
      <c r="A59" t="s">
        <v>35</v>
      </c>
      <c r="B59" s="17">
        <f>B58+(B58*0.031)</f>
        <v>742.83550000000002</v>
      </c>
      <c r="C59" s="17">
        <f t="shared" si="1"/>
        <v>705.69372499999997</v>
      </c>
      <c r="F59" t="s">
        <v>33</v>
      </c>
      <c r="G59">
        <v>550</v>
      </c>
      <c r="H59" s="16">
        <f t="shared" ref="H59:H62" si="2">G59*2*29*12</f>
        <v>382800</v>
      </c>
      <c r="J59" s="17">
        <f>G59*0.75</f>
        <v>412.5</v>
      </c>
      <c r="L59" s="16">
        <f t="shared" ref="L59:L63" si="3">H59*25</f>
        <v>9570000</v>
      </c>
    </row>
    <row r="60" spans="1:14">
      <c r="A60" t="s">
        <v>36</v>
      </c>
      <c r="B60" s="17">
        <f>B59+(B59*0.031)</f>
        <v>765.86340050000001</v>
      </c>
      <c r="C60" s="17">
        <f t="shared" si="1"/>
        <v>727.57023047500002</v>
      </c>
      <c r="F60" t="s">
        <v>34</v>
      </c>
      <c r="G60">
        <f>G59+(G59*0.31)</f>
        <v>720.5</v>
      </c>
      <c r="H60" s="16">
        <f t="shared" si="2"/>
        <v>501468</v>
      </c>
      <c r="J60" s="17">
        <f>G60*0.75</f>
        <v>540.375</v>
      </c>
      <c r="L60" s="16">
        <f t="shared" si="3"/>
        <v>12536700</v>
      </c>
    </row>
    <row r="61" spans="1:14">
      <c r="B61">
        <f>SUM(B56:B60)</f>
        <v>3099.1989005</v>
      </c>
      <c r="C61">
        <f>SUM(C56:C60)</f>
        <v>2944.2389554749998</v>
      </c>
      <c r="D61">
        <f>C61/B61*100</f>
        <v>95</v>
      </c>
      <c r="F61" t="s">
        <v>35</v>
      </c>
      <c r="G61" s="17">
        <f>G60+(G60*0.031)</f>
        <v>742.83550000000002</v>
      </c>
      <c r="H61" s="16">
        <f t="shared" si="2"/>
        <v>517013.50800000003</v>
      </c>
      <c r="J61" s="17">
        <f>G61*0.75</f>
        <v>557.12662499999999</v>
      </c>
      <c r="L61" s="16">
        <f t="shared" si="3"/>
        <v>12925337.700000001</v>
      </c>
    </row>
    <row r="62" spans="1:14">
      <c r="F62" t="s">
        <v>36</v>
      </c>
      <c r="G62" s="17">
        <f>G61+(G61*0.031)</f>
        <v>765.86340050000001</v>
      </c>
      <c r="H62" s="16">
        <f t="shared" si="2"/>
        <v>533040.92674800009</v>
      </c>
      <c r="J62" s="17">
        <f>G62*0.75</f>
        <v>574.39755037500004</v>
      </c>
      <c r="L62" s="16">
        <f t="shared" si="3"/>
        <v>13326023.168700002</v>
      </c>
    </row>
    <row r="63" spans="1:14">
      <c r="A63" t="s">
        <v>77</v>
      </c>
      <c r="G63">
        <f>SUM(G58:G62)</f>
        <v>3099.1989005</v>
      </c>
      <c r="H63" s="17">
        <f>SUM(H58:H62)</f>
        <v>2157042.434748</v>
      </c>
      <c r="J63" s="17">
        <f>SUM(J58:J62)</f>
        <v>2324.3991753749997</v>
      </c>
      <c r="L63" s="16">
        <f t="shared" si="3"/>
        <v>53926060.868699998</v>
      </c>
    </row>
    <row r="64" spans="1:14">
      <c r="A64" t="s">
        <v>8</v>
      </c>
    </row>
    <row r="65" spans="1:7">
      <c r="A65" t="s">
        <v>32</v>
      </c>
      <c r="B65" s="17">
        <v>200</v>
      </c>
      <c r="C65" s="17">
        <f>B65*0.95</f>
        <v>190</v>
      </c>
    </row>
    <row r="66" spans="1:7">
      <c r="A66" t="s">
        <v>45</v>
      </c>
      <c r="B66" s="17">
        <f>+B65+B65*0.031</f>
        <v>206.2</v>
      </c>
      <c r="C66" s="17">
        <f t="shared" ref="C66:C69" si="4">B66*0.95</f>
        <v>195.89</v>
      </c>
    </row>
    <row r="67" spans="1:7">
      <c r="A67" t="s">
        <v>34</v>
      </c>
      <c r="B67" s="17">
        <f>+B66+B66*0.031</f>
        <v>212.59219999999999</v>
      </c>
      <c r="C67" s="17">
        <f t="shared" si="4"/>
        <v>201.96258999999998</v>
      </c>
      <c r="E67" t="s">
        <v>41</v>
      </c>
      <c r="G67">
        <v>2000</v>
      </c>
    </row>
    <row r="68" spans="1:7">
      <c r="A68" t="s">
        <v>35</v>
      </c>
      <c r="B68" s="17">
        <f>+B67+B67*0.031</f>
        <v>219.18255819999999</v>
      </c>
      <c r="C68" s="17">
        <f t="shared" si="4"/>
        <v>208.22343028999998</v>
      </c>
      <c r="G68">
        <f>G67*0.95</f>
        <v>1900</v>
      </c>
    </row>
    <row r="69" spans="1:7">
      <c r="A69" t="s">
        <v>36</v>
      </c>
      <c r="B69" s="17">
        <f>+B68+B68*0.031</f>
        <v>225.97721750419998</v>
      </c>
      <c r="C69" s="17">
        <f t="shared" si="4"/>
        <v>214.67835662898997</v>
      </c>
    </row>
    <row r="70" spans="1:7">
      <c r="B70" s="17">
        <f>SUM(B65:B69)</f>
        <v>1063.9519757041999</v>
      </c>
      <c r="C70" s="17">
        <f>SUM(C65:C69)</f>
        <v>1010.7543769189899</v>
      </c>
    </row>
    <row r="71" spans="1:7">
      <c r="E71" t="s">
        <v>8</v>
      </c>
    </row>
    <row r="72" spans="1:7">
      <c r="E72" t="s">
        <v>42</v>
      </c>
      <c r="F72" t="s">
        <v>43</v>
      </c>
    </row>
    <row r="73" spans="1:7">
      <c r="E73">
        <v>330</v>
      </c>
      <c r="F73">
        <v>3582</v>
      </c>
      <c r="G73">
        <f>+F73/E73</f>
        <v>10.854545454545455</v>
      </c>
    </row>
    <row r="74" spans="1:7">
      <c r="G74" t="s">
        <v>44</v>
      </c>
    </row>
    <row r="75" spans="1:7">
      <c r="E75" t="s">
        <v>32</v>
      </c>
      <c r="F75" s="17">
        <v>200</v>
      </c>
      <c r="G75" s="17">
        <f>+F75*12*4</f>
        <v>9600</v>
      </c>
    </row>
    <row r="76" spans="1:7">
      <c r="E76" t="s">
        <v>45</v>
      </c>
      <c r="F76" s="17">
        <f>+F75+F75*0.031</f>
        <v>206.2</v>
      </c>
      <c r="G76" s="17">
        <f t="shared" ref="G76:G80" si="5">+F76*12*4</f>
        <v>9897.5999999999985</v>
      </c>
    </row>
    <row r="77" spans="1:7">
      <c r="E77" t="s">
        <v>34</v>
      </c>
      <c r="F77" s="17">
        <f>+F76+F76*0.031</f>
        <v>212.59219999999999</v>
      </c>
      <c r="G77" s="17">
        <f t="shared" si="5"/>
        <v>10204.425599999999</v>
      </c>
    </row>
    <row r="78" spans="1:7">
      <c r="E78" t="s">
        <v>35</v>
      </c>
      <c r="F78" s="17">
        <f>+F77+F77*0.031</f>
        <v>219.18255819999999</v>
      </c>
      <c r="G78" s="17">
        <f t="shared" si="5"/>
        <v>10520.762793599999</v>
      </c>
    </row>
    <row r="79" spans="1:7">
      <c r="E79" t="s">
        <v>36</v>
      </c>
      <c r="F79" s="17">
        <f>+F78+F78*0.031</f>
        <v>225.97721750419998</v>
      </c>
      <c r="G79" s="17">
        <f t="shared" si="5"/>
        <v>10846.906440201599</v>
      </c>
    </row>
    <row r="80" spans="1:7">
      <c r="E80" t="s">
        <v>46</v>
      </c>
      <c r="F80" s="17">
        <f t="shared" ref="F80" si="6">+F79+F79*0.031</f>
        <v>232.98251124683017</v>
      </c>
      <c r="G80" s="17">
        <f t="shared" si="5"/>
        <v>11183.160539847848</v>
      </c>
    </row>
    <row r="82" spans="1:7">
      <c r="C82" t="s">
        <v>47</v>
      </c>
    </row>
    <row r="83" spans="1:7">
      <c r="D83" t="s">
        <v>48</v>
      </c>
    </row>
    <row r="84" spans="1:7">
      <c r="C84" t="s">
        <v>7</v>
      </c>
    </row>
    <row r="85" spans="1:7">
      <c r="C85" t="s">
        <v>8</v>
      </c>
    </row>
    <row r="91" spans="1:7">
      <c r="A91" t="s">
        <v>49</v>
      </c>
    </row>
    <row r="92" spans="1:7">
      <c r="A92" s="22" t="s">
        <v>50</v>
      </c>
      <c r="B92" s="22"/>
      <c r="C92" s="22" t="s">
        <v>51</v>
      </c>
      <c r="D92" s="22"/>
      <c r="E92" t="s">
        <v>52</v>
      </c>
      <c r="F92" s="22" t="s">
        <v>53</v>
      </c>
      <c r="G92" s="22" t="s">
        <v>54</v>
      </c>
    </row>
    <row r="93" spans="1:7">
      <c r="A93" t="s">
        <v>55</v>
      </c>
      <c r="B93">
        <v>3</v>
      </c>
      <c r="C93">
        <f>+B93*2</f>
        <v>6</v>
      </c>
      <c r="E93">
        <v>3</v>
      </c>
      <c r="F93">
        <v>12</v>
      </c>
      <c r="G93">
        <f>F93*E93*C93</f>
        <v>216</v>
      </c>
    </row>
    <row r="94" spans="1:7">
      <c r="A94" t="s">
        <v>19</v>
      </c>
      <c r="B94">
        <v>1</v>
      </c>
      <c r="C94">
        <f t="shared" ref="C94:C103" si="7">+B94*2</f>
        <v>2</v>
      </c>
      <c r="E94">
        <v>3</v>
      </c>
      <c r="F94">
        <v>12</v>
      </c>
      <c r="G94">
        <f t="shared" ref="G94:G102" si="8">F94*E94*C94</f>
        <v>72</v>
      </c>
    </row>
    <row r="95" spans="1:7">
      <c r="A95" t="s">
        <v>21</v>
      </c>
      <c r="B95">
        <v>3</v>
      </c>
      <c r="C95">
        <f t="shared" si="7"/>
        <v>6</v>
      </c>
      <c r="E95">
        <v>3</v>
      </c>
      <c r="F95">
        <v>12</v>
      </c>
      <c r="G95">
        <f t="shared" si="8"/>
        <v>216</v>
      </c>
    </row>
    <row r="96" spans="1:7">
      <c r="A96" t="s">
        <v>56</v>
      </c>
      <c r="B96">
        <v>1</v>
      </c>
      <c r="C96">
        <f t="shared" si="7"/>
        <v>2</v>
      </c>
      <c r="E96">
        <v>3</v>
      </c>
      <c r="F96">
        <v>12</v>
      </c>
      <c r="G96">
        <f t="shared" si="8"/>
        <v>72</v>
      </c>
    </row>
    <row r="97" spans="1:7">
      <c r="A97" t="s">
        <v>8</v>
      </c>
      <c r="B97">
        <v>2</v>
      </c>
      <c r="C97">
        <f t="shared" si="7"/>
        <v>4</v>
      </c>
      <c r="E97">
        <v>3</v>
      </c>
      <c r="F97">
        <v>12</v>
      </c>
      <c r="G97">
        <f t="shared" si="8"/>
        <v>144</v>
      </c>
    </row>
    <row r="98" spans="1:7">
      <c r="E98">
        <v>3</v>
      </c>
      <c r="F98">
        <v>12</v>
      </c>
      <c r="G98">
        <f t="shared" si="8"/>
        <v>0</v>
      </c>
    </row>
    <row r="99" spans="1:7">
      <c r="A99" t="s">
        <v>9</v>
      </c>
      <c r="B99">
        <v>2</v>
      </c>
      <c r="C99">
        <f t="shared" si="7"/>
        <v>4</v>
      </c>
      <c r="E99">
        <v>3</v>
      </c>
      <c r="F99">
        <v>12</v>
      </c>
      <c r="G99">
        <f t="shared" si="8"/>
        <v>144</v>
      </c>
    </row>
    <row r="100" spans="1:7">
      <c r="A100" t="s">
        <v>57</v>
      </c>
      <c r="B100">
        <v>2</v>
      </c>
      <c r="C100">
        <f t="shared" si="7"/>
        <v>4</v>
      </c>
      <c r="E100">
        <v>3</v>
      </c>
      <c r="F100">
        <v>12</v>
      </c>
      <c r="G100">
        <f t="shared" si="8"/>
        <v>144</v>
      </c>
    </row>
    <row r="101" spans="1:7">
      <c r="A101" t="s">
        <v>58</v>
      </c>
      <c r="B101">
        <v>1</v>
      </c>
      <c r="C101">
        <f t="shared" si="7"/>
        <v>2</v>
      </c>
      <c r="E101">
        <v>3</v>
      </c>
      <c r="F101">
        <v>12</v>
      </c>
      <c r="G101">
        <f t="shared" si="8"/>
        <v>72</v>
      </c>
    </row>
    <row r="102" spans="1:7">
      <c r="A102" t="s">
        <v>59</v>
      </c>
      <c r="B102">
        <v>1</v>
      </c>
      <c r="C102">
        <f t="shared" si="7"/>
        <v>2</v>
      </c>
      <c r="E102">
        <v>3</v>
      </c>
      <c r="F102">
        <v>12</v>
      </c>
      <c r="G102">
        <f t="shared" si="8"/>
        <v>72</v>
      </c>
    </row>
    <row r="103" spans="1:7">
      <c r="A103" s="22"/>
      <c r="B103" s="22">
        <f>SUM(B93:B102)</f>
        <v>16</v>
      </c>
      <c r="C103" s="22">
        <f t="shared" si="7"/>
        <v>32</v>
      </c>
      <c r="G103">
        <f>SUM(G93:G102)</f>
        <v>1152</v>
      </c>
    </row>
    <row r="107" spans="1:7">
      <c r="A107" t="s">
        <v>60</v>
      </c>
    </row>
    <row r="110" spans="1:7">
      <c r="A110" s="22" t="s">
        <v>50</v>
      </c>
      <c r="B110" s="22"/>
      <c r="C110" s="22" t="s">
        <v>51</v>
      </c>
      <c r="D110" s="22"/>
      <c r="E110" t="s">
        <v>52</v>
      </c>
      <c r="F110" s="22" t="s">
        <v>53</v>
      </c>
      <c r="G110" s="22" t="s">
        <v>54</v>
      </c>
    </row>
    <row r="111" spans="1:7">
      <c r="A111" t="s">
        <v>55</v>
      </c>
      <c r="B111">
        <v>3</v>
      </c>
      <c r="C111">
        <f>+B111*2</f>
        <v>6</v>
      </c>
      <c r="E111">
        <v>3</v>
      </c>
      <c r="F111">
        <v>12</v>
      </c>
      <c r="G111">
        <f>F111*E111*C111</f>
        <v>216</v>
      </c>
    </row>
    <row r="112" spans="1:7">
      <c r="A112" t="s">
        <v>19</v>
      </c>
      <c r="B112">
        <v>1</v>
      </c>
      <c r="C112">
        <f t="shared" ref="C112:C126" si="9">+B112*2</f>
        <v>2</v>
      </c>
      <c r="E112">
        <v>3</v>
      </c>
      <c r="F112">
        <v>12</v>
      </c>
      <c r="G112">
        <f t="shared" ref="G112:G125" si="10">F112*E112*C112</f>
        <v>72</v>
      </c>
    </row>
    <row r="113" spans="1:16">
      <c r="A113" t="s">
        <v>21</v>
      </c>
      <c r="B113">
        <v>3</v>
      </c>
      <c r="C113">
        <f t="shared" si="9"/>
        <v>6</v>
      </c>
      <c r="E113">
        <v>3</v>
      </c>
      <c r="F113">
        <v>12</v>
      </c>
      <c r="G113">
        <f t="shared" si="10"/>
        <v>216</v>
      </c>
    </row>
    <row r="114" spans="1:16">
      <c r="A114" t="s">
        <v>56</v>
      </c>
      <c r="B114">
        <v>1</v>
      </c>
      <c r="C114">
        <f t="shared" si="9"/>
        <v>2</v>
      </c>
      <c r="E114">
        <v>3</v>
      </c>
      <c r="F114">
        <v>12</v>
      </c>
      <c r="G114">
        <f t="shared" si="10"/>
        <v>72</v>
      </c>
    </row>
    <row r="115" spans="1:16">
      <c r="A115" t="s">
        <v>8</v>
      </c>
      <c r="B115">
        <v>2</v>
      </c>
      <c r="C115">
        <f t="shared" si="9"/>
        <v>4</v>
      </c>
      <c r="E115">
        <v>3</v>
      </c>
      <c r="F115">
        <v>12</v>
      </c>
      <c r="G115">
        <f t="shared" si="10"/>
        <v>144</v>
      </c>
    </row>
    <row r="116" spans="1:16">
      <c r="A116" t="s">
        <v>16</v>
      </c>
      <c r="B116" s="13">
        <v>3</v>
      </c>
      <c r="C116">
        <f t="shared" si="9"/>
        <v>6</v>
      </c>
    </row>
    <row r="117" spans="1:16">
      <c r="A117" t="s">
        <v>17</v>
      </c>
      <c r="B117">
        <v>1</v>
      </c>
      <c r="C117">
        <f t="shared" si="9"/>
        <v>2</v>
      </c>
    </row>
    <row r="118" spans="1:16">
      <c r="A118" t="s">
        <v>20</v>
      </c>
      <c r="B118" s="5">
        <v>3</v>
      </c>
      <c r="C118">
        <f t="shared" si="9"/>
        <v>6</v>
      </c>
    </row>
    <row r="120" spans="1:16">
      <c r="C120">
        <f t="shared" si="9"/>
        <v>0</v>
      </c>
      <c r="J120" t="s">
        <v>16</v>
      </c>
      <c r="L120" s="13">
        <v>3</v>
      </c>
      <c r="M120">
        <v>30</v>
      </c>
      <c r="N120">
        <v>3</v>
      </c>
      <c r="P120">
        <f>L120*2</f>
        <v>6</v>
      </c>
    </row>
    <row r="121" spans="1:16">
      <c r="C121">
        <f t="shared" si="9"/>
        <v>0</v>
      </c>
      <c r="E121">
        <v>3</v>
      </c>
      <c r="F121">
        <v>12</v>
      </c>
      <c r="G121">
        <f t="shared" si="10"/>
        <v>0</v>
      </c>
      <c r="J121" t="s">
        <v>17</v>
      </c>
      <c r="L121">
        <v>1</v>
      </c>
      <c r="M121">
        <v>30</v>
      </c>
      <c r="N121">
        <v>2</v>
      </c>
      <c r="P121">
        <f t="shared" ref="P121:P127" si="11">L121*2</f>
        <v>2</v>
      </c>
    </row>
    <row r="122" spans="1:16">
      <c r="A122" t="s">
        <v>9</v>
      </c>
      <c r="B122">
        <v>2</v>
      </c>
      <c r="C122">
        <f t="shared" si="9"/>
        <v>4</v>
      </c>
      <c r="E122">
        <v>3</v>
      </c>
      <c r="F122">
        <v>12</v>
      </c>
      <c r="G122">
        <f t="shared" si="10"/>
        <v>144</v>
      </c>
      <c r="J122" s="5" t="s">
        <v>18</v>
      </c>
      <c r="K122" s="5"/>
      <c r="L122" s="5">
        <v>3</v>
      </c>
      <c r="N122" s="5">
        <v>5</v>
      </c>
      <c r="P122">
        <f t="shared" si="11"/>
        <v>6</v>
      </c>
    </row>
    <row r="123" spans="1:16">
      <c r="A123" t="s">
        <v>57</v>
      </c>
      <c r="B123">
        <v>2</v>
      </c>
      <c r="C123">
        <f t="shared" si="9"/>
        <v>4</v>
      </c>
      <c r="E123">
        <v>3</v>
      </c>
      <c r="F123">
        <v>12</v>
      </c>
      <c r="G123">
        <f t="shared" si="10"/>
        <v>144</v>
      </c>
      <c r="J123" s="5" t="s">
        <v>19</v>
      </c>
      <c r="L123">
        <v>1</v>
      </c>
      <c r="M123">
        <v>50</v>
      </c>
      <c r="N123" s="5">
        <v>5</v>
      </c>
      <c r="P123">
        <f t="shared" si="11"/>
        <v>2</v>
      </c>
    </row>
    <row r="124" spans="1:16">
      <c r="A124" t="s">
        <v>58</v>
      </c>
      <c r="B124">
        <v>1</v>
      </c>
      <c r="C124">
        <f t="shared" si="9"/>
        <v>2</v>
      </c>
      <c r="E124">
        <v>3</v>
      </c>
      <c r="F124">
        <v>12</v>
      </c>
      <c r="G124">
        <f t="shared" si="10"/>
        <v>72</v>
      </c>
      <c r="J124" t="s">
        <v>20</v>
      </c>
      <c r="L124" s="5">
        <v>3</v>
      </c>
      <c r="M124">
        <v>30</v>
      </c>
      <c r="N124">
        <v>3</v>
      </c>
      <c r="P124">
        <f t="shared" si="11"/>
        <v>6</v>
      </c>
    </row>
    <row r="125" spans="1:16">
      <c r="A125" t="s">
        <v>59</v>
      </c>
      <c r="B125">
        <v>1</v>
      </c>
      <c r="C125">
        <f t="shared" si="9"/>
        <v>2</v>
      </c>
      <c r="E125">
        <v>3</v>
      </c>
      <c r="F125">
        <v>12</v>
      </c>
      <c r="G125">
        <f t="shared" si="10"/>
        <v>72</v>
      </c>
      <c r="J125" s="5" t="s">
        <v>21</v>
      </c>
      <c r="K125" s="5"/>
      <c r="L125" s="5">
        <v>2</v>
      </c>
      <c r="M125">
        <v>30</v>
      </c>
      <c r="N125">
        <v>3</v>
      </c>
      <c r="P125">
        <f t="shared" si="11"/>
        <v>4</v>
      </c>
    </row>
    <row r="126" spans="1:16">
      <c r="A126" s="22"/>
      <c r="B126" s="22">
        <f>SUM(B111:B125)</f>
        <v>23</v>
      </c>
      <c r="C126" s="22">
        <f t="shared" si="9"/>
        <v>46</v>
      </c>
      <c r="G126">
        <f>SUM(G111:G125)</f>
        <v>1152</v>
      </c>
      <c r="J126" s="14" t="s">
        <v>9</v>
      </c>
      <c r="K126" s="14"/>
      <c r="L126" s="14">
        <v>2</v>
      </c>
      <c r="P126">
        <f t="shared" si="11"/>
        <v>4</v>
      </c>
    </row>
    <row r="127" spans="1:16">
      <c r="J127" s="14" t="s">
        <v>22</v>
      </c>
      <c r="K127" s="14"/>
      <c r="L127" s="14">
        <v>2</v>
      </c>
      <c r="P127">
        <f t="shared" si="11"/>
        <v>4</v>
      </c>
    </row>
    <row r="130" spans="1:7">
      <c r="A130" t="s">
        <v>61</v>
      </c>
    </row>
    <row r="133" spans="1:7">
      <c r="A133" s="22" t="s">
        <v>50</v>
      </c>
      <c r="B133" s="22"/>
      <c r="C133" s="22" t="s">
        <v>51</v>
      </c>
      <c r="D133" s="22"/>
      <c r="E133" t="s">
        <v>52</v>
      </c>
      <c r="F133" s="22" t="s">
        <v>53</v>
      </c>
      <c r="G133" s="22" t="s">
        <v>54</v>
      </c>
    </row>
    <row r="134" spans="1:7">
      <c r="A134" t="s">
        <v>55</v>
      </c>
      <c r="B134">
        <v>3</v>
      </c>
      <c r="C134">
        <f>+B134*2</f>
        <v>6</v>
      </c>
      <c r="E134">
        <v>3</v>
      </c>
      <c r="F134">
        <v>12</v>
      </c>
      <c r="G134">
        <f>F134*E134*C134</f>
        <v>216</v>
      </c>
    </row>
    <row r="135" spans="1:7">
      <c r="A135" t="s">
        <v>19</v>
      </c>
      <c r="B135">
        <v>1</v>
      </c>
      <c r="C135">
        <f t="shared" ref="C135:C149" si="12">+B135*2</f>
        <v>2</v>
      </c>
      <c r="E135">
        <v>3</v>
      </c>
      <c r="F135">
        <v>12</v>
      </c>
      <c r="G135">
        <f t="shared" ref="G135:G138" si="13">F135*E135*C135</f>
        <v>72</v>
      </c>
    </row>
    <row r="136" spans="1:7">
      <c r="A136" t="s">
        <v>21</v>
      </c>
      <c r="B136">
        <v>3</v>
      </c>
      <c r="C136">
        <f t="shared" si="12"/>
        <v>6</v>
      </c>
      <c r="E136">
        <v>3</v>
      </c>
      <c r="F136">
        <v>12</v>
      </c>
      <c r="G136">
        <f t="shared" si="13"/>
        <v>216</v>
      </c>
    </row>
    <row r="137" spans="1:7">
      <c r="A137" t="s">
        <v>56</v>
      </c>
      <c r="B137">
        <v>1</v>
      </c>
      <c r="C137">
        <f t="shared" si="12"/>
        <v>2</v>
      </c>
      <c r="E137">
        <v>3</v>
      </c>
      <c r="F137">
        <v>12</v>
      </c>
      <c r="G137">
        <f t="shared" si="13"/>
        <v>72</v>
      </c>
    </row>
    <row r="138" spans="1:7">
      <c r="A138" t="s">
        <v>8</v>
      </c>
      <c r="B138">
        <v>2</v>
      </c>
      <c r="C138">
        <f t="shared" si="12"/>
        <v>4</v>
      </c>
      <c r="E138">
        <v>3</v>
      </c>
      <c r="F138">
        <v>12</v>
      </c>
      <c r="G138">
        <f t="shared" si="13"/>
        <v>144</v>
      </c>
    </row>
    <row r="139" spans="1:7">
      <c r="A139" t="s">
        <v>16</v>
      </c>
      <c r="B139" s="13">
        <v>3</v>
      </c>
      <c r="C139">
        <f t="shared" si="12"/>
        <v>6</v>
      </c>
    </row>
    <row r="140" spans="1:7">
      <c r="A140" t="s">
        <v>17</v>
      </c>
      <c r="B140">
        <v>1</v>
      </c>
      <c r="C140">
        <f t="shared" si="12"/>
        <v>2</v>
      </c>
    </row>
    <row r="141" spans="1:7">
      <c r="A141" t="s">
        <v>20</v>
      </c>
      <c r="B141" s="5">
        <v>3</v>
      </c>
      <c r="C141">
        <f t="shared" si="12"/>
        <v>6</v>
      </c>
    </row>
    <row r="142" spans="1:7">
      <c r="C142">
        <f t="shared" si="12"/>
        <v>0</v>
      </c>
    </row>
    <row r="143" spans="1:7">
      <c r="A143" t="s">
        <v>62</v>
      </c>
      <c r="B143">
        <v>4</v>
      </c>
      <c r="C143">
        <f t="shared" si="12"/>
        <v>8</v>
      </c>
    </row>
    <row r="144" spans="1:7">
      <c r="C144">
        <f>SUM(C134:C143)</f>
        <v>42</v>
      </c>
      <c r="E144">
        <v>3</v>
      </c>
      <c r="F144">
        <v>12</v>
      </c>
      <c r="G144">
        <f t="shared" ref="G144:G148" si="14">F144*E144*C144</f>
        <v>1512</v>
      </c>
    </row>
    <row r="145" spans="1:7">
      <c r="A145" t="s">
        <v>9</v>
      </c>
      <c r="B145">
        <v>2</v>
      </c>
      <c r="C145">
        <f t="shared" si="12"/>
        <v>4</v>
      </c>
      <c r="E145">
        <v>3</v>
      </c>
      <c r="F145">
        <v>12</v>
      </c>
      <c r="G145">
        <f t="shared" si="14"/>
        <v>144</v>
      </c>
    </row>
    <row r="146" spans="1:7">
      <c r="A146" t="s">
        <v>57</v>
      </c>
      <c r="B146">
        <v>2</v>
      </c>
      <c r="C146">
        <f t="shared" si="12"/>
        <v>4</v>
      </c>
      <c r="E146">
        <v>3</v>
      </c>
      <c r="F146">
        <v>12</v>
      </c>
      <c r="G146">
        <f t="shared" si="14"/>
        <v>144</v>
      </c>
    </row>
    <row r="147" spans="1:7">
      <c r="A147" t="s">
        <v>58</v>
      </c>
      <c r="B147">
        <v>1</v>
      </c>
      <c r="C147">
        <f t="shared" si="12"/>
        <v>2</v>
      </c>
      <c r="E147">
        <v>3</v>
      </c>
      <c r="F147">
        <v>12</v>
      </c>
      <c r="G147">
        <f t="shared" si="14"/>
        <v>72</v>
      </c>
    </row>
    <row r="148" spans="1:7">
      <c r="A148" t="s">
        <v>59</v>
      </c>
      <c r="B148">
        <v>1</v>
      </c>
      <c r="C148">
        <f t="shared" si="12"/>
        <v>2</v>
      </c>
      <c r="E148">
        <v>3</v>
      </c>
      <c r="F148">
        <v>12</v>
      </c>
      <c r="G148">
        <f t="shared" si="14"/>
        <v>72</v>
      </c>
    </row>
    <row r="149" spans="1:7">
      <c r="A149" s="22"/>
      <c r="B149" s="22">
        <f>SUM(B134:B148)</f>
        <v>27</v>
      </c>
      <c r="C149" s="22">
        <f t="shared" si="12"/>
        <v>54</v>
      </c>
      <c r="G149">
        <f>SUM(G134:G148)</f>
        <v>2664</v>
      </c>
    </row>
    <row r="153" spans="1:7">
      <c r="A153" t="s">
        <v>63</v>
      </c>
    </row>
    <row r="154" spans="1:7">
      <c r="A154" t="s">
        <v>64</v>
      </c>
      <c r="B154">
        <v>25000</v>
      </c>
    </row>
    <row r="155" spans="1:7">
      <c r="A155" t="s">
        <v>65</v>
      </c>
      <c r="B155">
        <v>25000</v>
      </c>
    </row>
    <row r="156" spans="1:7">
      <c r="A156" t="s">
        <v>66</v>
      </c>
      <c r="B156">
        <v>10000</v>
      </c>
    </row>
    <row r="157" spans="1:7">
      <c r="A157" t="s">
        <v>67</v>
      </c>
    </row>
    <row r="158" spans="1:7">
      <c r="A158" t="s">
        <v>68</v>
      </c>
      <c r="B158">
        <v>10000</v>
      </c>
    </row>
    <row r="159" spans="1:7">
      <c r="B159">
        <f>SUM(B154:B158)</f>
        <v>70000</v>
      </c>
    </row>
    <row r="162" spans="1:20">
      <c r="A162" s="22" t="s">
        <v>69</v>
      </c>
    </row>
    <row r="163" spans="1:20">
      <c r="A163" t="s">
        <v>70</v>
      </c>
      <c r="J163" t="s">
        <v>71</v>
      </c>
      <c r="K163" t="s">
        <v>72</v>
      </c>
      <c r="M163" t="s">
        <v>73</v>
      </c>
    </row>
    <row r="164" spans="1:20">
      <c r="A164" t="s">
        <v>32</v>
      </c>
      <c r="B164">
        <f>9*30+50</f>
        <v>320</v>
      </c>
      <c r="E164">
        <v>0.161</v>
      </c>
      <c r="F164" s="17">
        <f>E164*B164</f>
        <v>51.52</v>
      </c>
      <c r="G164" s="17">
        <f>B164-F164</f>
        <v>268.48</v>
      </c>
      <c r="H164">
        <f t="shared" ref="H164:H169" si="15">B164</f>
        <v>320</v>
      </c>
      <c r="I164" s="17">
        <f>G164*0.95</f>
        <v>255.05600000000001</v>
      </c>
      <c r="J164">
        <f>G164/12</f>
        <v>22.373333333333335</v>
      </c>
      <c r="K164" t="s">
        <v>74</v>
      </c>
      <c r="L164">
        <f t="shared" ref="L164:L169" si="16">H164/10</f>
        <v>32</v>
      </c>
      <c r="M164" s="17">
        <f t="shared" ref="M164:M169" si="17">L164*2</f>
        <v>64</v>
      </c>
      <c r="O164" s="23">
        <f t="shared" ref="O164:O169" si="18">+M164*5000*4</f>
        <v>1280000</v>
      </c>
      <c r="Q164" s="24">
        <f>O164/H164</f>
        <v>4000</v>
      </c>
      <c r="R164">
        <f>+Q164*G164</f>
        <v>1073920</v>
      </c>
      <c r="T164">
        <v>20000</v>
      </c>
    </row>
    <row r="165" spans="1:20">
      <c r="A165" t="s">
        <v>33</v>
      </c>
      <c r="B165">
        <v>550</v>
      </c>
      <c r="C165">
        <v>600</v>
      </c>
      <c r="E165">
        <v>0.161</v>
      </c>
      <c r="F165" s="17">
        <f>E165*B165</f>
        <v>88.55</v>
      </c>
      <c r="G165" s="17">
        <f>B165-F165</f>
        <v>461.45</v>
      </c>
      <c r="H165">
        <f t="shared" si="15"/>
        <v>550</v>
      </c>
      <c r="I165" s="17">
        <f>G165*0.95</f>
        <v>438.37749999999994</v>
      </c>
      <c r="L165">
        <f t="shared" si="16"/>
        <v>55</v>
      </c>
      <c r="M165" s="17">
        <f t="shared" si="17"/>
        <v>110</v>
      </c>
      <c r="O165" s="23">
        <f t="shared" si="18"/>
        <v>2200000</v>
      </c>
      <c r="Q165" s="24">
        <f t="shared" ref="Q165:Q167" si="19">O165/H165</f>
        <v>4000</v>
      </c>
      <c r="R165">
        <f t="shared" ref="R165:R168" si="20">+Q165*G165</f>
        <v>1845800</v>
      </c>
    </row>
    <row r="166" spans="1:20">
      <c r="A166" t="s">
        <v>34</v>
      </c>
      <c r="B166">
        <f>B165+(B165*0.31)</f>
        <v>720.5</v>
      </c>
      <c r="C166" s="5">
        <v>500</v>
      </c>
      <c r="D166" s="5">
        <v>500</v>
      </c>
      <c r="E166">
        <v>0.161</v>
      </c>
      <c r="F166" s="17">
        <f>E166*B166</f>
        <v>116.0005</v>
      </c>
      <c r="G166" s="17">
        <f>B166-F166</f>
        <v>604.49950000000001</v>
      </c>
      <c r="H166">
        <f t="shared" si="15"/>
        <v>720.5</v>
      </c>
      <c r="I166" s="17">
        <f>G166*0.95</f>
        <v>574.27452500000004</v>
      </c>
      <c r="L166">
        <f t="shared" si="16"/>
        <v>72.05</v>
      </c>
      <c r="M166" s="17">
        <f t="shared" si="17"/>
        <v>144.1</v>
      </c>
      <c r="O166" s="23">
        <f t="shared" si="18"/>
        <v>2882000</v>
      </c>
      <c r="Q166" s="24">
        <f t="shared" si="19"/>
        <v>4000</v>
      </c>
      <c r="R166">
        <f t="shared" si="20"/>
        <v>2417998</v>
      </c>
    </row>
    <row r="167" spans="1:20">
      <c r="A167" t="s">
        <v>35</v>
      </c>
      <c r="B167" s="17">
        <f>B166+(B166*0.031)</f>
        <v>742.83550000000002</v>
      </c>
      <c r="C167" s="5">
        <v>400</v>
      </c>
      <c r="D167" s="5">
        <v>300</v>
      </c>
      <c r="E167">
        <v>0.161</v>
      </c>
      <c r="F167" s="17">
        <f>E167*B167</f>
        <v>119.59651550000001</v>
      </c>
      <c r="G167" s="17">
        <f>B167-F167</f>
        <v>623.23898450000002</v>
      </c>
      <c r="H167">
        <f t="shared" si="15"/>
        <v>742.83550000000002</v>
      </c>
      <c r="I167" s="17">
        <f>G167*0.95</f>
        <v>592.07703527499996</v>
      </c>
      <c r="L167">
        <f t="shared" si="16"/>
        <v>74.283550000000005</v>
      </c>
      <c r="M167" s="17">
        <f t="shared" si="17"/>
        <v>148.56710000000001</v>
      </c>
      <c r="O167" s="23">
        <f t="shared" si="18"/>
        <v>2971342</v>
      </c>
      <c r="Q167" s="24">
        <f t="shared" si="19"/>
        <v>4000</v>
      </c>
      <c r="R167">
        <f t="shared" si="20"/>
        <v>2492955.9380000001</v>
      </c>
    </row>
    <row r="168" spans="1:20">
      <c r="A168" t="s">
        <v>36</v>
      </c>
      <c r="B168" s="17">
        <f>B167+(B167*0.031)</f>
        <v>765.86340050000001</v>
      </c>
      <c r="C168" s="5">
        <v>275</v>
      </c>
      <c r="D168" s="5">
        <v>314</v>
      </c>
      <c r="E168">
        <v>0.161</v>
      </c>
      <c r="F168" s="17">
        <f>E168*B168</f>
        <v>123.3040074805</v>
      </c>
      <c r="G168" s="17">
        <f>B168-F168</f>
        <v>642.55939301950002</v>
      </c>
      <c r="H168">
        <f t="shared" si="15"/>
        <v>765.86340050000001</v>
      </c>
      <c r="I168" s="17">
        <f>G168*0.95</f>
        <v>610.43142336852497</v>
      </c>
      <c r="L168">
        <f t="shared" si="16"/>
        <v>76.586340050000004</v>
      </c>
      <c r="M168" s="17">
        <f t="shared" si="17"/>
        <v>153.17268010000001</v>
      </c>
      <c r="O168" s="23">
        <f t="shared" si="18"/>
        <v>3063453.602</v>
      </c>
      <c r="Q168" s="24">
        <f>O168/H168</f>
        <v>4000</v>
      </c>
      <c r="R168">
        <f t="shared" si="20"/>
        <v>2570237.5720780003</v>
      </c>
      <c r="S168">
        <f>4000*643</f>
        <v>2572000</v>
      </c>
    </row>
    <row r="169" spans="1:20">
      <c r="B169">
        <f>SUM(B164:B168)</f>
        <v>3099.1989005</v>
      </c>
      <c r="F169" s="17"/>
      <c r="H169">
        <f t="shared" si="15"/>
        <v>3099.1989005</v>
      </c>
      <c r="L169">
        <f t="shared" si="16"/>
        <v>309.91989004999999</v>
      </c>
      <c r="M169">
        <f t="shared" si="17"/>
        <v>619.83978009999998</v>
      </c>
      <c r="O169" s="23">
        <f t="shared" si="18"/>
        <v>12396795.602</v>
      </c>
      <c r="Q169" t="e">
        <f t="shared" ref="Q169" si="21">+O169/G169</f>
        <v>#DIV/0!</v>
      </c>
    </row>
    <row r="170" spans="1:20">
      <c r="F170" s="17"/>
      <c r="O170" s="23"/>
    </row>
    <row r="171" spans="1:20">
      <c r="D171" s="17"/>
      <c r="M171" s="23"/>
    </row>
    <row r="172" spans="1:20">
      <c r="A172" t="s">
        <v>94</v>
      </c>
      <c r="D172" s="17"/>
      <c r="M172" s="23"/>
    </row>
    <row r="173" spans="1:20">
      <c r="A173" s="43" t="s">
        <v>32</v>
      </c>
      <c r="D173" s="17"/>
      <c r="M173" s="23"/>
    </row>
    <row r="174" spans="1:20">
      <c r="A174" s="43" t="s">
        <v>33</v>
      </c>
      <c r="D174" s="17"/>
      <c r="M174" s="23"/>
    </row>
    <row r="175" spans="1:20">
      <c r="A175" s="43" t="s">
        <v>34</v>
      </c>
      <c r="D175" s="17"/>
      <c r="M175" s="23"/>
    </row>
    <row r="176" spans="1:20">
      <c r="A176" s="43" t="s">
        <v>35</v>
      </c>
      <c r="D176" s="17"/>
      <c r="M176" s="23"/>
    </row>
    <row r="177" spans="1:13">
      <c r="A177" s="43" t="s">
        <v>36</v>
      </c>
      <c r="D177" s="17"/>
      <c r="M177" s="23"/>
    </row>
    <row r="178" spans="1:13">
      <c r="D178" s="17"/>
      <c r="M178" s="23"/>
    </row>
    <row r="179" spans="1:13">
      <c r="D179" s="17"/>
      <c r="M179" s="23"/>
    </row>
    <row r="180" spans="1:13">
      <c r="D180" s="17"/>
      <c r="M180" s="23"/>
    </row>
    <row r="181" spans="1:13">
      <c r="D181" s="17"/>
      <c r="M181" s="23"/>
    </row>
    <row r="182" spans="1:13">
      <c r="A182" t="s">
        <v>93</v>
      </c>
      <c r="M182" s="23"/>
    </row>
    <row r="183" spans="1:13">
      <c r="A183" s="43" t="s">
        <v>32</v>
      </c>
      <c r="B183" s="43">
        <v>267</v>
      </c>
      <c r="E183" s="43">
        <v>0.161</v>
      </c>
      <c r="F183" s="17">
        <f>E183*B183</f>
        <v>42.987000000000002</v>
      </c>
      <c r="M183" s="23"/>
    </row>
    <row r="184" spans="1:13">
      <c r="A184" s="43" t="s">
        <v>33</v>
      </c>
      <c r="B184" s="43">
        <f>B183+B183*0.031</f>
        <v>275.27699999999999</v>
      </c>
      <c r="C184">
        <v>200</v>
      </c>
      <c r="E184" s="43">
        <v>0.161</v>
      </c>
      <c r="F184" s="17">
        <f>E184*B184</f>
        <v>44.319597000000002</v>
      </c>
      <c r="M184" s="23"/>
    </row>
    <row r="185" spans="1:13">
      <c r="A185" s="43" t="s">
        <v>34</v>
      </c>
      <c r="B185" s="43">
        <f>B184+(B184*0.31)</f>
        <v>360.61286999999999</v>
      </c>
      <c r="C185" s="5">
        <f>C184+C184*0.031</f>
        <v>206.2</v>
      </c>
      <c r="E185" s="43">
        <v>0.161</v>
      </c>
      <c r="F185" s="17">
        <f>E185*B185</f>
        <v>58.05867207</v>
      </c>
      <c r="M185" s="23"/>
    </row>
    <row r="186" spans="1:13">
      <c r="A186" s="43" t="s">
        <v>35</v>
      </c>
      <c r="B186" s="44">
        <f>B185+(B185*0.031)</f>
        <v>371.79186897</v>
      </c>
      <c r="D186" s="5">
        <v>126</v>
      </c>
      <c r="E186" s="43">
        <v>0.161</v>
      </c>
      <c r="F186" s="17">
        <f>E186*B186</f>
        <v>59.858490904170004</v>
      </c>
      <c r="M186" s="23"/>
    </row>
    <row r="187" spans="1:13">
      <c r="A187" s="43" t="s">
        <v>36</v>
      </c>
      <c r="B187" s="44">
        <f>B186+(B186*0.031)</f>
        <v>383.31741690807002</v>
      </c>
      <c r="C187">
        <f>D186+D186*0.031</f>
        <v>129.90600000000001</v>
      </c>
      <c r="E187" s="43">
        <v>0.161</v>
      </c>
      <c r="F187" s="17">
        <f>E187*B187</f>
        <v>61.714104122199274</v>
      </c>
      <c r="M187" s="23"/>
    </row>
    <row r="188" spans="1:13">
      <c r="B188">
        <f>SUM(B183:B187)</f>
        <v>1657.99915587807</v>
      </c>
      <c r="D188" s="17"/>
      <c r="M188" s="23"/>
    </row>
    <row r="189" spans="1:13">
      <c r="D189" s="17"/>
      <c r="M189" s="23"/>
    </row>
    <row r="190" spans="1:13">
      <c r="A190" s="43" t="s">
        <v>95</v>
      </c>
      <c r="B190">
        <v>303</v>
      </c>
      <c r="D190" s="17"/>
      <c r="M190" s="23"/>
    </row>
    <row r="191" spans="1:13">
      <c r="D191" s="17"/>
      <c r="F191">
        <f t="shared" ref="F191:F199" si="22">B191</f>
        <v>0</v>
      </c>
      <c r="J191">
        <f t="shared" ref="J191:J199" si="23">F191/10</f>
        <v>0</v>
      </c>
      <c r="K191">
        <f t="shared" ref="K191:K199" si="24">J191*2</f>
        <v>0</v>
      </c>
      <c r="M191" s="16">
        <f t="shared" ref="M191:N198" si="25">+K191*5000*4</f>
        <v>0</v>
      </c>
    </row>
    <row r="192" spans="1:13">
      <c r="A192" t="s">
        <v>8</v>
      </c>
      <c r="D192" s="17"/>
      <c r="F192">
        <f t="shared" si="22"/>
        <v>0</v>
      </c>
      <c r="J192">
        <f t="shared" si="23"/>
        <v>0</v>
      </c>
      <c r="K192">
        <f t="shared" si="24"/>
        <v>0</v>
      </c>
      <c r="M192" s="16">
        <f t="shared" si="25"/>
        <v>0</v>
      </c>
    </row>
    <row r="193" spans="1:16">
      <c r="A193" t="s">
        <v>32</v>
      </c>
      <c r="B193" s="17">
        <v>200</v>
      </c>
      <c r="C193">
        <v>3.3000000000000002E-2</v>
      </c>
      <c r="D193" s="17">
        <f>+C193*B193</f>
        <v>6.6000000000000005</v>
      </c>
      <c r="E193" s="17">
        <f>+B193-D193</f>
        <v>193.4</v>
      </c>
      <c r="F193">
        <f t="shared" si="22"/>
        <v>200</v>
      </c>
      <c r="H193">
        <f>B193*0.95</f>
        <v>190</v>
      </c>
      <c r="J193">
        <f t="shared" si="23"/>
        <v>20</v>
      </c>
      <c r="K193">
        <f>J193*2</f>
        <v>40</v>
      </c>
      <c r="M193" s="16">
        <f>+K193*5000*4</f>
        <v>800000</v>
      </c>
      <c r="N193">
        <f>+L193*5000*4</f>
        <v>0</v>
      </c>
    </row>
    <row r="194" spans="1:16">
      <c r="A194" t="s">
        <v>45</v>
      </c>
      <c r="B194" s="17">
        <f>+B193+B193*0.031</f>
        <v>206.2</v>
      </c>
      <c r="C194">
        <v>3.3000000000000002E-2</v>
      </c>
      <c r="D194" s="17">
        <f t="shared" ref="D194:D198" si="26">+C194*B194</f>
        <v>6.8045999999999998</v>
      </c>
      <c r="E194" s="17">
        <f t="shared" ref="E194:E198" si="27">+B194-D194</f>
        <v>199.3954</v>
      </c>
      <c r="F194">
        <f t="shared" si="22"/>
        <v>206.2</v>
      </c>
      <c r="H194">
        <f t="shared" ref="H194:H197" si="28">B194*0.95</f>
        <v>195.89</v>
      </c>
      <c r="J194">
        <f t="shared" si="23"/>
        <v>20.619999999999997</v>
      </c>
      <c r="K194">
        <f t="shared" si="24"/>
        <v>41.239999999999995</v>
      </c>
      <c r="M194" s="16">
        <f t="shared" si="25"/>
        <v>824799.99999999988</v>
      </c>
      <c r="N194">
        <f t="shared" si="25"/>
        <v>0</v>
      </c>
    </row>
    <row r="195" spans="1:16">
      <c r="A195" t="s">
        <v>34</v>
      </c>
      <c r="B195" s="17">
        <f>+B194+B194*0.031</f>
        <v>212.59219999999999</v>
      </c>
      <c r="C195">
        <v>3.3000000000000002E-2</v>
      </c>
      <c r="D195" s="17">
        <f t="shared" si="26"/>
        <v>7.0155425999999999</v>
      </c>
      <c r="E195" s="17">
        <f t="shared" si="27"/>
        <v>205.57665739999999</v>
      </c>
      <c r="F195" s="17">
        <f>B195</f>
        <v>212.59219999999999</v>
      </c>
      <c r="H195">
        <f t="shared" si="28"/>
        <v>201.96258999999998</v>
      </c>
      <c r="J195">
        <f t="shared" si="23"/>
        <v>21.259219999999999</v>
      </c>
      <c r="K195">
        <f t="shared" si="24"/>
        <v>42.518439999999998</v>
      </c>
      <c r="M195" s="16">
        <f t="shared" si="25"/>
        <v>850368.79999999993</v>
      </c>
      <c r="N195">
        <f t="shared" si="25"/>
        <v>0</v>
      </c>
    </row>
    <row r="196" spans="1:16">
      <c r="A196" t="s">
        <v>35</v>
      </c>
      <c r="B196" s="17">
        <f>+B195+B195*0.031</f>
        <v>219.18255819999999</v>
      </c>
      <c r="C196">
        <v>3.3000000000000002E-2</v>
      </c>
      <c r="D196" s="17">
        <f t="shared" si="26"/>
        <v>7.2330244205999996</v>
      </c>
      <c r="E196" s="17">
        <f t="shared" si="27"/>
        <v>211.94953377939999</v>
      </c>
      <c r="F196">
        <f t="shared" si="22"/>
        <v>219.18255819999999</v>
      </c>
      <c r="H196">
        <f t="shared" si="28"/>
        <v>208.22343028999998</v>
      </c>
      <c r="J196">
        <f t="shared" si="23"/>
        <v>21.918255819999999</v>
      </c>
      <c r="K196">
        <f t="shared" si="24"/>
        <v>43.836511639999998</v>
      </c>
      <c r="M196" s="16">
        <f t="shared" si="25"/>
        <v>876730.2328</v>
      </c>
      <c r="N196">
        <f t="shared" si="25"/>
        <v>0</v>
      </c>
    </row>
    <row r="197" spans="1:16">
      <c r="A197" t="s">
        <v>36</v>
      </c>
      <c r="B197" s="17">
        <f>+B196+B196*0.031</f>
        <v>225.97721750419998</v>
      </c>
      <c r="C197">
        <v>3.3000000000000002E-2</v>
      </c>
      <c r="D197" s="17">
        <f t="shared" si="26"/>
        <v>7.4572481776385997</v>
      </c>
      <c r="E197" s="17">
        <f t="shared" si="27"/>
        <v>218.51996932656138</v>
      </c>
      <c r="F197">
        <f t="shared" si="22"/>
        <v>225.97721750419998</v>
      </c>
      <c r="H197">
        <f t="shared" si="28"/>
        <v>214.67835662898997</v>
      </c>
      <c r="J197">
        <f t="shared" si="23"/>
        <v>22.59772175042</v>
      </c>
      <c r="K197">
        <f t="shared" si="24"/>
        <v>45.19544350084</v>
      </c>
      <c r="M197" s="16">
        <f t="shared" si="25"/>
        <v>903908.87001680001</v>
      </c>
      <c r="N197">
        <f t="shared" si="25"/>
        <v>0</v>
      </c>
    </row>
    <row r="198" spans="1:16">
      <c r="A198" t="s">
        <v>46</v>
      </c>
      <c r="B198" s="17">
        <f t="shared" ref="B198" si="29">+B197+B197*0.031</f>
        <v>232.98251124683017</v>
      </c>
      <c r="C198">
        <v>3.3000000000000002E-2</v>
      </c>
      <c r="D198" s="17">
        <f t="shared" si="26"/>
        <v>7.6884228711453959</v>
      </c>
      <c r="E198" s="17">
        <f t="shared" si="27"/>
        <v>225.29408837568477</v>
      </c>
      <c r="F198">
        <f t="shared" si="22"/>
        <v>232.98251124683017</v>
      </c>
      <c r="J198">
        <f t="shared" si="23"/>
        <v>23.298251124683016</v>
      </c>
      <c r="K198">
        <f t="shared" si="24"/>
        <v>46.596502249366033</v>
      </c>
      <c r="L198">
        <v>30</v>
      </c>
      <c r="M198" s="16">
        <f t="shared" si="25"/>
        <v>931930.04498732067</v>
      </c>
      <c r="N198">
        <f t="shared" si="25"/>
        <v>600000</v>
      </c>
      <c r="P198">
        <f>+Q167/500</f>
        <v>8</v>
      </c>
    </row>
    <row r="199" spans="1:16">
      <c r="B199" s="17">
        <f>SUM(B193:B198)</f>
        <v>1296.9344869510301</v>
      </c>
      <c r="F199">
        <f t="shared" si="22"/>
        <v>1296.9344869510301</v>
      </c>
      <c r="J199">
        <f t="shared" si="23"/>
        <v>129.693448695103</v>
      </c>
      <c r="K199">
        <f t="shared" si="24"/>
        <v>259.386897390206</v>
      </c>
      <c r="M199" s="25">
        <f>SUM(M193:M198)</f>
        <v>5187737.9478041204</v>
      </c>
      <c r="N199">
        <f>SUM(N193:N198)</f>
        <v>600000</v>
      </c>
    </row>
    <row r="202" spans="1:16">
      <c r="A202" t="s">
        <v>75</v>
      </c>
    </row>
    <row r="203" spans="1:16">
      <c r="A203" t="s">
        <v>8</v>
      </c>
    </row>
    <row r="204" spans="1:16">
      <c r="A204" t="s">
        <v>32</v>
      </c>
      <c r="B204" s="17">
        <v>400</v>
      </c>
      <c r="C204" s="17">
        <v>400</v>
      </c>
      <c r="D204" s="5">
        <v>138</v>
      </c>
    </row>
    <row r="205" spans="1:16">
      <c r="A205" t="s">
        <v>45</v>
      </c>
      <c r="B205" s="17">
        <f t="shared" ref="B205:C208" si="30">+B204+B204*0.031</f>
        <v>412.4</v>
      </c>
      <c r="C205" s="17">
        <f t="shared" si="30"/>
        <v>412.4</v>
      </c>
      <c r="D205" s="5">
        <v>676</v>
      </c>
    </row>
    <row r="206" spans="1:16">
      <c r="A206" t="s">
        <v>34</v>
      </c>
      <c r="B206" s="17">
        <f t="shared" si="30"/>
        <v>425.18439999999998</v>
      </c>
      <c r="C206" s="17">
        <f t="shared" si="30"/>
        <v>425.18439999999998</v>
      </c>
      <c r="D206" s="5">
        <v>255</v>
      </c>
    </row>
    <row r="207" spans="1:16">
      <c r="A207" t="s">
        <v>35</v>
      </c>
      <c r="B207" s="17">
        <f t="shared" si="30"/>
        <v>438.36511639999998</v>
      </c>
      <c r="C207" s="17">
        <f t="shared" si="30"/>
        <v>438.36511639999998</v>
      </c>
      <c r="D207" s="5">
        <v>230</v>
      </c>
    </row>
    <row r="208" spans="1:16">
      <c r="A208" t="s">
        <v>36</v>
      </c>
      <c r="B208" s="17">
        <f t="shared" si="30"/>
        <v>451.95443500839997</v>
      </c>
      <c r="C208" s="17">
        <f t="shared" si="30"/>
        <v>451.95443500839997</v>
      </c>
      <c r="D208" s="5">
        <v>100</v>
      </c>
    </row>
    <row r="209" spans="1:4">
      <c r="A209" t="s">
        <v>46</v>
      </c>
      <c r="B209" s="17"/>
    </row>
    <row r="210" spans="1:4">
      <c r="B210" s="17"/>
    </row>
    <row r="213" spans="1:4">
      <c r="A213" t="s">
        <v>76</v>
      </c>
    </row>
    <row r="214" spans="1:4">
      <c r="C214" t="s">
        <v>92</v>
      </c>
    </row>
    <row r="215" spans="1:4">
      <c r="A215" t="s">
        <v>32</v>
      </c>
      <c r="B215">
        <f>9*30+50</f>
        <v>320</v>
      </c>
      <c r="C215">
        <v>175</v>
      </c>
      <c r="D215">
        <v>3</v>
      </c>
    </row>
    <row r="216" spans="1:4">
      <c r="A216" t="s">
        <v>33</v>
      </c>
      <c r="B216">
        <v>550</v>
      </c>
      <c r="D216">
        <v>1</v>
      </c>
    </row>
    <row r="217" spans="1:4">
      <c r="A217" t="s">
        <v>34</v>
      </c>
      <c r="B217">
        <f>B216+(B216*0.31)</f>
        <v>720.5</v>
      </c>
      <c r="D217">
        <v>3</v>
      </c>
    </row>
    <row r="218" spans="1:4">
      <c r="A218" t="s">
        <v>35</v>
      </c>
      <c r="B218" s="17">
        <f>B217+(B217*0.031)</f>
        <v>742.83550000000002</v>
      </c>
    </row>
    <row r="219" spans="1:4">
      <c r="A219" t="s">
        <v>36</v>
      </c>
      <c r="B219" s="17">
        <f>B218+(B218*0.031)</f>
        <v>765.86340050000001</v>
      </c>
    </row>
    <row r="220" spans="1:4">
      <c r="B220">
        <f>SUM(B215:B219)</f>
        <v>3099.1989005</v>
      </c>
    </row>
    <row r="231" spans="1:5">
      <c r="A231" s="22" t="s">
        <v>69</v>
      </c>
    </row>
    <row r="232" spans="1:5">
      <c r="A232" t="s">
        <v>70</v>
      </c>
    </row>
    <row r="233" spans="1:5">
      <c r="A233" t="s">
        <v>32</v>
      </c>
      <c r="B233">
        <f>9*30+50</f>
        <v>320</v>
      </c>
      <c r="C233">
        <v>0.161</v>
      </c>
      <c r="D233" s="17">
        <f>C233*B233</f>
        <v>51.52</v>
      </c>
      <c r="E233" s="16"/>
    </row>
    <row r="234" spans="1:5">
      <c r="A234" t="s">
        <v>33</v>
      </c>
      <c r="B234">
        <v>550</v>
      </c>
      <c r="C234">
        <v>0.161</v>
      </c>
      <c r="D234" s="17">
        <f t="shared" ref="D234:D237" si="31">C234*B234</f>
        <v>88.55</v>
      </c>
      <c r="E234" s="16"/>
    </row>
    <row r="235" spans="1:5">
      <c r="A235" t="s">
        <v>34</v>
      </c>
      <c r="B235">
        <f>B234+(B234*0.31)</f>
        <v>720.5</v>
      </c>
      <c r="C235">
        <v>0.161</v>
      </c>
      <c r="D235" s="17">
        <f t="shared" si="31"/>
        <v>116.0005</v>
      </c>
      <c r="E235" s="16"/>
    </row>
    <row r="236" spans="1:5">
      <c r="A236" t="s">
        <v>35</v>
      </c>
      <c r="B236" s="17">
        <f>B235+(B235*0.031)</f>
        <v>742.83550000000002</v>
      </c>
      <c r="C236">
        <v>0.161</v>
      </c>
      <c r="D236" s="17">
        <f t="shared" si="31"/>
        <v>119.59651550000001</v>
      </c>
      <c r="E236" s="16"/>
    </row>
    <row r="237" spans="1:5">
      <c r="A237" t="s">
        <v>36</v>
      </c>
      <c r="B237" s="17">
        <f>B236+(B236*0.031)</f>
        <v>765.86340050000001</v>
      </c>
      <c r="C237">
        <v>0.161</v>
      </c>
      <c r="D237" s="17">
        <f t="shared" si="31"/>
        <v>123.3040074805</v>
      </c>
      <c r="E237" s="16"/>
    </row>
    <row r="238" spans="1:5">
      <c r="D238" s="17"/>
      <c r="E238" s="16">
        <f t="shared" ref="E238:E246" si="32">D238*8000</f>
        <v>0</v>
      </c>
    </row>
    <row r="239" spans="1:5">
      <c r="D239" s="17"/>
      <c r="E239" s="16">
        <f t="shared" si="32"/>
        <v>0</v>
      </c>
    </row>
    <row r="240" spans="1:5">
      <c r="A240" t="s">
        <v>8</v>
      </c>
      <c r="D240" s="17"/>
      <c r="E240" s="16">
        <f t="shared" si="32"/>
        <v>0</v>
      </c>
    </row>
    <row r="241" spans="1:5">
      <c r="A241" t="s">
        <v>32</v>
      </c>
      <c r="B241" s="17">
        <v>200</v>
      </c>
      <c r="C241">
        <v>3.3000000000000002E-2</v>
      </c>
      <c r="D241" s="17">
        <f>+C241*B241</f>
        <v>6.6000000000000005</v>
      </c>
      <c r="E241" s="16">
        <f t="shared" si="32"/>
        <v>52800.000000000007</v>
      </c>
    </row>
    <row r="242" spans="1:5">
      <c r="A242" t="s">
        <v>45</v>
      </c>
      <c r="B242" s="17">
        <f>+B241+B241*0.031</f>
        <v>206.2</v>
      </c>
      <c r="C242">
        <v>3.3000000000000002E-2</v>
      </c>
      <c r="D242" s="17">
        <f t="shared" ref="D242:D246" si="33">+C242*B242</f>
        <v>6.8045999999999998</v>
      </c>
      <c r="E242" s="16">
        <f t="shared" si="32"/>
        <v>54436.799999999996</v>
      </c>
    </row>
    <row r="243" spans="1:5">
      <c r="A243" t="s">
        <v>34</v>
      </c>
      <c r="B243" s="17">
        <f>+B242+B242*0.031</f>
        <v>212.59219999999999</v>
      </c>
      <c r="C243">
        <v>3.3000000000000002E-2</v>
      </c>
      <c r="D243" s="17">
        <f t="shared" si="33"/>
        <v>7.0155425999999999</v>
      </c>
      <c r="E243" s="16">
        <f t="shared" si="32"/>
        <v>56124.340799999998</v>
      </c>
    </row>
    <row r="244" spans="1:5">
      <c r="A244" t="s">
        <v>35</v>
      </c>
      <c r="B244" s="17">
        <f>+B243+B243*0.031</f>
        <v>219.18255819999999</v>
      </c>
      <c r="C244">
        <v>3.3000000000000002E-2</v>
      </c>
      <c r="D244" s="17">
        <f t="shared" si="33"/>
        <v>7.2330244205999996</v>
      </c>
      <c r="E244" s="16">
        <f t="shared" si="32"/>
        <v>57864.195364799998</v>
      </c>
    </row>
    <row r="245" spans="1:5">
      <c r="A245" t="s">
        <v>36</v>
      </c>
      <c r="B245" s="17">
        <f>+B244+B244*0.031</f>
        <v>225.97721750419998</v>
      </c>
      <c r="C245">
        <v>3.3000000000000002E-2</v>
      </c>
      <c r="D245" s="17">
        <f t="shared" si="33"/>
        <v>7.4572481776385997</v>
      </c>
      <c r="E245" s="16">
        <f t="shared" si="32"/>
        <v>59657.985421108795</v>
      </c>
    </row>
    <row r="246" spans="1:5">
      <c r="A246" t="s">
        <v>46</v>
      </c>
      <c r="B246" s="17">
        <f t="shared" ref="B246" si="34">+B245+B245*0.031</f>
        <v>232.98251124683017</v>
      </c>
      <c r="C246">
        <v>3.3000000000000002E-2</v>
      </c>
      <c r="D246" s="17">
        <f t="shared" si="33"/>
        <v>7.6884228711453959</v>
      </c>
      <c r="E246" s="16">
        <f t="shared" si="32"/>
        <v>61507.382969163169</v>
      </c>
    </row>
    <row r="255" spans="1:5">
      <c r="A255" s="22" t="s">
        <v>69</v>
      </c>
    </row>
    <row r="256" spans="1:5">
      <c r="A256" t="s">
        <v>70</v>
      </c>
      <c r="B256" t="s">
        <v>44</v>
      </c>
      <c r="C256" s="26">
        <v>0.9</v>
      </c>
      <c r="D256" s="26">
        <v>0.9</v>
      </c>
    </row>
    <row r="257" spans="1:4">
      <c r="A257" t="s">
        <v>32</v>
      </c>
      <c r="B257">
        <f>9*30+50</f>
        <v>320</v>
      </c>
      <c r="C257" s="17">
        <f>B257*0.9</f>
        <v>288</v>
      </c>
      <c r="D257" s="17">
        <f>C257*0.9</f>
        <v>259.2</v>
      </c>
    </row>
    <row r="258" spans="1:4">
      <c r="A258" t="s">
        <v>33</v>
      </c>
      <c r="B258">
        <v>550</v>
      </c>
      <c r="C258" s="17">
        <f t="shared" ref="C258:D270" si="35">B258*0.9</f>
        <v>495</v>
      </c>
      <c r="D258" s="17">
        <f t="shared" si="35"/>
        <v>445.5</v>
      </c>
    </row>
    <row r="259" spans="1:4">
      <c r="A259" t="s">
        <v>34</v>
      </c>
      <c r="B259">
        <f>B258+(B258*0.31)</f>
        <v>720.5</v>
      </c>
      <c r="C259" s="17">
        <f t="shared" si="35"/>
        <v>648.45000000000005</v>
      </c>
      <c r="D259" s="17">
        <f t="shared" si="35"/>
        <v>583.60500000000002</v>
      </c>
    </row>
    <row r="260" spans="1:4">
      <c r="A260" t="s">
        <v>35</v>
      </c>
      <c r="B260" s="17">
        <f>B259+(B259*0.031)</f>
        <v>742.83550000000002</v>
      </c>
      <c r="C260" s="17">
        <f t="shared" si="35"/>
        <v>668.55195000000003</v>
      </c>
      <c r="D260" s="17">
        <f t="shared" si="35"/>
        <v>601.69675500000005</v>
      </c>
    </row>
    <row r="261" spans="1:4">
      <c r="A261" t="s">
        <v>36</v>
      </c>
      <c r="B261" s="17">
        <f>B260+(B260*0.031)</f>
        <v>765.86340050000001</v>
      </c>
      <c r="C261" s="17">
        <f t="shared" si="35"/>
        <v>689.27706045000002</v>
      </c>
      <c r="D261" s="17">
        <f t="shared" si="35"/>
        <v>620.34935440499999</v>
      </c>
    </row>
    <row r="262" spans="1:4">
      <c r="B262">
        <f>SUM(B257:B261)</f>
        <v>3099.1989005</v>
      </c>
      <c r="C262" s="17">
        <f t="shared" si="35"/>
        <v>2789.27901045</v>
      </c>
      <c r="D262" s="17">
        <f t="shared" si="35"/>
        <v>2510.351109405</v>
      </c>
    </row>
    <row r="263" spans="1:4">
      <c r="C263" s="17">
        <f t="shared" si="35"/>
        <v>0</v>
      </c>
      <c r="D263" s="17">
        <f t="shared" si="35"/>
        <v>0</v>
      </c>
    </row>
    <row r="264" spans="1:4">
      <c r="A264" t="s">
        <v>8</v>
      </c>
      <c r="C264" s="17">
        <f t="shared" si="35"/>
        <v>0</v>
      </c>
      <c r="D264" s="17">
        <f t="shared" si="35"/>
        <v>0</v>
      </c>
    </row>
    <row r="265" spans="1:4">
      <c r="A265" t="s">
        <v>32</v>
      </c>
      <c r="B265" s="17">
        <v>200</v>
      </c>
      <c r="C265" s="17">
        <f>B265*0.9</f>
        <v>180</v>
      </c>
      <c r="D265" s="17">
        <f>C265*0.9</f>
        <v>162</v>
      </c>
    </row>
    <row r="266" spans="1:4">
      <c r="A266" t="s">
        <v>45</v>
      </c>
      <c r="B266" s="17">
        <f>+B265+B265*0.031</f>
        <v>206.2</v>
      </c>
      <c r="C266" s="17">
        <f t="shared" si="35"/>
        <v>185.57999999999998</v>
      </c>
      <c r="D266" s="17">
        <f t="shared" si="35"/>
        <v>167.02199999999999</v>
      </c>
    </row>
    <row r="267" spans="1:4">
      <c r="A267" t="s">
        <v>34</v>
      </c>
      <c r="B267" s="17">
        <f>+B266+B266*0.031</f>
        <v>212.59219999999999</v>
      </c>
      <c r="C267" s="17">
        <f t="shared" si="35"/>
        <v>191.33297999999999</v>
      </c>
      <c r="D267" s="17">
        <f t="shared" si="35"/>
        <v>172.199682</v>
      </c>
    </row>
    <row r="268" spans="1:4">
      <c r="A268" t="s">
        <v>35</v>
      </c>
      <c r="B268" s="17">
        <f>+B267+B267*0.031</f>
        <v>219.18255819999999</v>
      </c>
      <c r="C268" s="17">
        <f t="shared" si="35"/>
        <v>197.26430238</v>
      </c>
      <c r="D268" s="17">
        <f t="shared" si="35"/>
        <v>177.537872142</v>
      </c>
    </row>
    <row r="269" spans="1:4">
      <c r="A269" t="s">
        <v>36</v>
      </c>
      <c r="B269" s="17">
        <f>+B268+B268*0.031</f>
        <v>225.97721750419998</v>
      </c>
      <c r="C269" s="17">
        <f t="shared" si="35"/>
        <v>203.37949575377999</v>
      </c>
      <c r="D269" s="17">
        <f t="shared" si="35"/>
        <v>183.041546178402</v>
      </c>
    </row>
    <row r="270" spans="1:4">
      <c r="A270" t="s">
        <v>46</v>
      </c>
      <c r="B270" s="17">
        <f t="shared" ref="B270" si="36">+B269+B269*0.031</f>
        <v>232.98251124683017</v>
      </c>
      <c r="C270" s="17">
        <f t="shared" si="35"/>
        <v>209.68426012214715</v>
      </c>
      <c r="D270" s="17">
        <f t="shared" si="35"/>
        <v>188.71583410993244</v>
      </c>
    </row>
    <row r="276" spans="1:3" ht="32">
      <c r="A276" s="28" t="s">
        <v>78</v>
      </c>
      <c r="B276" t="s">
        <v>44</v>
      </c>
    </row>
    <row r="277" spans="1:3">
      <c r="A277" t="s">
        <v>32</v>
      </c>
      <c r="B277" s="17">
        <v>2000</v>
      </c>
      <c r="C277" s="17">
        <f>B277*0.9</f>
        <v>1800</v>
      </c>
    </row>
    <row r="278" spans="1:3">
      <c r="A278" t="s">
        <v>33</v>
      </c>
      <c r="B278" s="17">
        <f>B277+B277*0.031</f>
        <v>2062</v>
      </c>
      <c r="C278" s="17">
        <f t="shared" ref="C278:C281" si="37">B278*0.9</f>
        <v>1855.8</v>
      </c>
    </row>
    <row r="279" spans="1:3">
      <c r="A279" t="s">
        <v>34</v>
      </c>
      <c r="B279" s="17">
        <f>B278+(B278*0.31)</f>
        <v>2701.2200000000003</v>
      </c>
      <c r="C279" s="17">
        <f t="shared" si="37"/>
        <v>2431.0980000000004</v>
      </c>
    </row>
    <row r="280" spans="1:3">
      <c r="A280" t="s">
        <v>35</v>
      </c>
      <c r="B280" s="17">
        <f>B279+(B279*0.031)</f>
        <v>2784.9578200000001</v>
      </c>
      <c r="C280" s="17">
        <f t="shared" si="37"/>
        <v>2506.4620380000001</v>
      </c>
    </row>
    <row r="281" spans="1:3">
      <c r="A281" t="s">
        <v>36</v>
      </c>
      <c r="B281" s="17">
        <f>B280+(B280*0.031)</f>
        <v>2871.2915124199999</v>
      </c>
      <c r="C281" s="17">
        <f t="shared" si="37"/>
        <v>2584.1623611780001</v>
      </c>
    </row>
    <row r="282" spans="1:3">
      <c r="B282" s="17">
        <f>SUM(B277:B281)</f>
        <v>12419.469332420002</v>
      </c>
    </row>
    <row r="290" spans="1:4">
      <c r="A290" t="s">
        <v>79</v>
      </c>
    </row>
    <row r="293" spans="1:4">
      <c r="A293" s="27" t="s">
        <v>80</v>
      </c>
      <c r="B293" t="s">
        <v>81</v>
      </c>
    </row>
    <row r="297" spans="1:4">
      <c r="A297">
        <f>5000+7000</f>
        <v>12000</v>
      </c>
    </row>
    <row r="298" spans="1:4">
      <c r="A298">
        <f>A297/2</f>
        <v>6000</v>
      </c>
    </row>
    <row r="300" spans="1:4">
      <c r="A300">
        <f>50*30*12</f>
        <v>18000</v>
      </c>
      <c r="B300" t="s">
        <v>82</v>
      </c>
    </row>
    <row r="302" spans="1:4">
      <c r="C302" t="s">
        <v>83</v>
      </c>
      <c r="D302" t="s">
        <v>84</v>
      </c>
    </row>
    <row r="303" spans="1:4">
      <c r="A303" t="s">
        <v>32</v>
      </c>
      <c r="B303" s="16">
        <f>A300+A298</f>
        <v>24000</v>
      </c>
      <c r="C303" s="16">
        <f>+B303*0.9</f>
        <v>21600</v>
      </c>
      <c r="D303" s="25">
        <f>C303*0.7</f>
        <v>15119.999999999998</v>
      </c>
    </row>
    <row r="304" spans="1:4">
      <c r="A304" t="s">
        <v>45</v>
      </c>
      <c r="B304" s="16">
        <f>+B303+B303*0.031</f>
        <v>24744</v>
      </c>
      <c r="C304" s="16">
        <f t="shared" ref="C304:C307" si="38">+B304*0.9</f>
        <v>22269.600000000002</v>
      </c>
      <c r="D304" s="25">
        <f t="shared" ref="D304:D307" si="39">C304*0.7</f>
        <v>15588.720000000001</v>
      </c>
    </row>
    <row r="305" spans="1:4">
      <c r="A305" t="s">
        <v>34</v>
      </c>
      <c r="B305" s="16">
        <f t="shared" ref="B305:B306" si="40">+B304+B304*0.031</f>
        <v>25511.063999999998</v>
      </c>
      <c r="C305" s="16">
        <f t="shared" si="38"/>
        <v>22959.957599999998</v>
      </c>
      <c r="D305" s="25">
        <f t="shared" si="39"/>
        <v>16071.970319999997</v>
      </c>
    </row>
    <row r="306" spans="1:4">
      <c r="A306" t="s">
        <v>35</v>
      </c>
      <c r="B306" s="16">
        <f t="shared" si="40"/>
        <v>26301.906983999997</v>
      </c>
      <c r="C306" s="16">
        <f t="shared" si="38"/>
        <v>23671.7162856</v>
      </c>
      <c r="D306" s="25">
        <f t="shared" si="39"/>
        <v>16570.201399919999</v>
      </c>
    </row>
    <row r="307" spans="1:4">
      <c r="A307" t="s">
        <v>36</v>
      </c>
      <c r="B307" s="16">
        <f>+B306+B306*0.031</f>
        <v>27117.266100503999</v>
      </c>
      <c r="C307" s="16">
        <f t="shared" si="38"/>
        <v>24405.539490453601</v>
      </c>
      <c r="D307" s="25">
        <f t="shared" si="39"/>
        <v>17083.877643317519</v>
      </c>
    </row>
    <row r="312" spans="1:4">
      <c r="A312" t="s">
        <v>85</v>
      </c>
    </row>
    <row r="313" spans="1:4">
      <c r="A313" t="s">
        <v>86</v>
      </c>
      <c r="B313">
        <v>145</v>
      </c>
    </row>
    <row r="314" spans="1:4">
      <c r="A314" t="s">
        <v>87</v>
      </c>
      <c r="B314">
        <v>35</v>
      </c>
    </row>
    <row r="315" spans="1:4">
      <c r="B315">
        <f>SUM(B313:B314)</f>
        <v>180</v>
      </c>
      <c r="C315">
        <f>B315*2</f>
        <v>360</v>
      </c>
      <c r="D315">
        <f>+C315+20</f>
        <v>380</v>
      </c>
    </row>
    <row r="316" spans="1:4">
      <c r="A316" t="s">
        <v>88</v>
      </c>
      <c r="B316">
        <v>185</v>
      </c>
    </row>
    <row r="317" spans="1:4">
      <c r="A317" t="s">
        <v>89</v>
      </c>
      <c r="B317">
        <v>45</v>
      </c>
    </row>
    <row r="318" spans="1:4">
      <c r="A318" t="s">
        <v>90</v>
      </c>
      <c r="B318">
        <v>45</v>
      </c>
    </row>
    <row r="319" spans="1:4">
      <c r="B319">
        <f>SUM(B316:B318)</f>
        <v>275</v>
      </c>
      <c r="C319">
        <f>B319*2+25</f>
        <v>575</v>
      </c>
    </row>
    <row r="320" spans="1:4">
      <c r="C320">
        <f>D315+C319</f>
        <v>955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E82AB-2F06-224F-884C-FB4073C57DF2}">
  <dimension ref="A1:K10"/>
  <sheetViews>
    <sheetView workbookViewId="0">
      <selection activeCell="B33" sqref="B33"/>
    </sheetView>
  </sheetViews>
  <sheetFormatPr baseColWidth="10" defaultRowHeight="15"/>
  <cols>
    <col min="1" max="2" width="45.6640625" customWidth="1"/>
    <col min="3" max="3" width="25.1640625" customWidth="1"/>
    <col min="9" max="9" width="41.33203125" bestFit="1" customWidth="1"/>
    <col min="10" max="10" width="41.33203125" customWidth="1"/>
    <col min="11" max="11" width="11.1640625" bestFit="1" customWidth="1"/>
  </cols>
  <sheetData>
    <row r="1" spans="1:11">
      <c r="I1" s="88"/>
      <c r="J1" s="89"/>
      <c r="K1" s="90"/>
    </row>
    <row r="2" spans="1:11" ht="16">
      <c r="I2" s="101" t="s">
        <v>127</v>
      </c>
      <c r="K2" s="92"/>
    </row>
    <row r="3" spans="1:11">
      <c r="I3" s="91"/>
      <c r="K3" s="92"/>
    </row>
    <row r="4" spans="1:11" ht="16">
      <c r="A4" s="87" t="s">
        <v>122</v>
      </c>
      <c r="B4" s="87" t="s">
        <v>125</v>
      </c>
      <c r="C4" s="87" t="s">
        <v>123</v>
      </c>
      <c r="I4" s="93" t="s">
        <v>122</v>
      </c>
      <c r="J4" s="87" t="s">
        <v>125</v>
      </c>
      <c r="K4" s="94" t="s">
        <v>123</v>
      </c>
    </row>
    <row r="5" spans="1:11">
      <c r="I5" s="95" t="s">
        <v>126</v>
      </c>
      <c r="J5" t="s">
        <v>65</v>
      </c>
      <c r="K5" s="96">
        <v>5000</v>
      </c>
    </row>
    <row r="6" spans="1:11">
      <c r="I6" s="95" t="s">
        <v>126</v>
      </c>
      <c r="J6" t="s">
        <v>124</v>
      </c>
      <c r="K6" s="96">
        <v>3000</v>
      </c>
    </row>
    <row r="7" spans="1:11">
      <c r="I7" s="91"/>
      <c r="K7" s="97">
        <f>SUM(K5:K6)</f>
        <v>8000</v>
      </c>
    </row>
    <row r="8" spans="1:11">
      <c r="I8" s="91"/>
      <c r="K8" s="92"/>
    </row>
    <row r="9" spans="1:11">
      <c r="I9" s="91" t="s">
        <v>128</v>
      </c>
      <c r="J9" t="s">
        <v>129</v>
      </c>
      <c r="K9" s="97">
        <v>5000</v>
      </c>
    </row>
    <row r="10" spans="1:11" ht="16" thickBot="1">
      <c r="I10" s="98"/>
      <c r="J10" s="99"/>
      <c r="K10" s="100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Tab1 Etat récap </vt:lpstr>
      <vt:lpstr>Tab 2 Personnel</vt:lpstr>
      <vt:lpstr>Tab 3 Activités</vt:lpstr>
      <vt:lpstr>BUDGET</vt:lpstr>
      <vt:lpstr>Détails prix unitaire</vt:lpstr>
      <vt:lpstr>GR_CSWs</vt:lpstr>
      <vt:lpstr>Yr1LocSal</vt:lpstr>
      <vt:lpstr>Yr2LocSal</vt:lpstr>
      <vt:lpstr>Yr3LocSal</vt:lpstr>
      <vt:lpstr>Yr4LocSal</vt:lpstr>
      <vt:lpstr>Yr5LocSal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Fatou Maria DRAME</cp:lastModifiedBy>
  <cp:lastPrinted>2022-09-16T14:10:46Z</cp:lastPrinted>
  <dcterms:created xsi:type="dcterms:W3CDTF">2016-07-25T12:26:14Z</dcterms:created>
  <dcterms:modified xsi:type="dcterms:W3CDTF">2022-09-16T14:24:52Z</dcterms:modified>
</cp:coreProperties>
</file>